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autoCompressPictures="0" defaultThemeVersion="166925"/>
  <mc:AlternateContent xmlns:mc="http://schemas.openxmlformats.org/markup-compatibility/2006">
    <mc:Choice Requires="x15">
      <x15ac:absPath xmlns:x15ac="http://schemas.microsoft.com/office/spreadsheetml/2010/11/ac" url="/Users/tomas/Library/Mobile Documents/com~apple~CloudDocs/Academy/*MyPapers/~Review self-monitoring/Revisions/"/>
    </mc:Choice>
  </mc:AlternateContent>
  <xr:revisionPtr revIDLastSave="0" documentId="13_ncr:1_{376A9B55-2CED-1946-A930-F4DA31998931}" xr6:coauthVersionLast="47" xr6:coauthVersionMax="47" xr10:uidLastSave="{00000000-0000-0000-0000-000000000000}"/>
  <bookViews>
    <workbookView xWindow="60" yWindow="500" windowWidth="35060" windowHeight="27640" xr2:uid="{00000000-000D-0000-FFFF-FFFF00000000}"/>
  </bookViews>
  <sheets>
    <sheet name="Studies" sheetId="1" r:id="rId1"/>
  </sheets>
  <definedNames>
    <definedName name="_xlnm._FilterDatabase" localSheetId="0" hidden="1">Studies!$A$1:$U$66</definedName>
    <definedName name="RoB">#REF!</definedName>
    <definedName name="Selfmonitoring_final_set" localSheetId="0">Studies!$A$2:$B$66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1" l="1"/>
  <c r="K15" i="1"/>
  <c r="K66" i="1"/>
  <c r="J66" i="1"/>
  <c r="G66" i="1"/>
  <c r="F66" i="1"/>
  <c r="J62" i="1"/>
  <c r="H62" i="1"/>
  <c r="I62" i="1" s="1"/>
  <c r="K61" i="1"/>
  <c r="J61" i="1"/>
  <c r="G60" i="1"/>
  <c r="F60" i="1"/>
  <c r="K59" i="1"/>
  <c r="J59" i="1"/>
  <c r="H59" i="1"/>
  <c r="G59" i="1"/>
  <c r="F59" i="1"/>
  <c r="K57" i="1"/>
  <c r="J57" i="1"/>
  <c r="I57" i="1"/>
  <c r="F57" i="1"/>
  <c r="K56" i="1"/>
  <c r="J56" i="1"/>
  <c r="H56" i="1"/>
  <c r="J54" i="1"/>
  <c r="G52" i="1"/>
  <c r="J51" i="1"/>
  <c r="I51" i="1"/>
  <c r="K50" i="1"/>
  <c r="J50" i="1"/>
  <c r="K49" i="1"/>
  <c r="J49" i="1"/>
  <c r="H49" i="1"/>
  <c r="G49" i="1"/>
  <c r="J48" i="1"/>
  <c r="J47" i="1"/>
  <c r="K46" i="1"/>
  <c r="J46" i="1"/>
  <c r="H46" i="1"/>
  <c r="K45" i="1"/>
  <c r="J45" i="1"/>
  <c r="K44" i="1"/>
  <c r="J44" i="1"/>
  <c r="G43" i="1"/>
  <c r="K42" i="1"/>
  <c r="J42" i="1"/>
  <c r="K38" i="1"/>
  <c r="J38" i="1"/>
  <c r="J36" i="1"/>
  <c r="K35" i="1"/>
  <c r="J35" i="1"/>
  <c r="K34" i="1"/>
  <c r="J34" i="1"/>
  <c r="K33" i="1"/>
  <c r="J33" i="1"/>
  <c r="K32" i="1"/>
  <c r="J32" i="1"/>
  <c r="I31" i="1"/>
  <c r="G31" i="1"/>
  <c r="F31" i="1"/>
  <c r="H31" i="1" s="1"/>
  <c r="G30" i="1"/>
  <c r="K28" i="1"/>
  <c r="J28" i="1"/>
  <c r="K26" i="1"/>
  <c r="J26" i="1"/>
  <c r="K25" i="1"/>
  <c r="J25" i="1"/>
  <c r="G25" i="1"/>
  <c r="K24" i="1"/>
  <c r="J23" i="1"/>
  <c r="K19" i="1"/>
  <c r="G19" i="1"/>
  <c r="K18" i="1"/>
  <c r="J18" i="1"/>
  <c r="G18" i="1"/>
  <c r="K14" i="1"/>
  <c r="J14" i="1"/>
  <c r="I14" i="1"/>
  <c r="G14" i="1"/>
  <c r="K13" i="1"/>
  <c r="J13" i="1"/>
  <c r="K10" i="1"/>
  <c r="J10" i="1"/>
  <c r="J9" i="1"/>
  <c r="J7" i="1"/>
  <c r="H7" i="1"/>
  <c r="K5" i="1"/>
  <c r="J5" i="1"/>
  <c r="I5" i="1"/>
  <c r="H5" i="1"/>
  <c r="G4" i="1"/>
  <c r="K3" i="1"/>
  <c r="J3" i="1"/>
  <c r="G3" i="1"/>
  <c r="K2" i="1"/>
  <c r="J2" i="1"/>
  <c r="H14"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elfmonitoring_final set2" type="6" refreshedVersion="6" background="1" saveData="1">
    <textPr codePage="65001" sourceFile="/Users/Tomas/Desktop/Selfmonitoring_final set.txt" thousands=" " tab="0" delimiter=".">
      <textFields count="6">
        <textField/>
        <textField type="text"/>
        <textField type="text"/>
        <textField/>
        <textField/>
        <textField/>
      </textFields>
    </textPr>
  </connection>
</connections>
</file>

<file path=xl/sharedStrings.xml><?xml version="1.0" encoding="utf-8"?>
<sst xmlns="http://schemas.openxmlformats.org/spreadsheetml/2006/main" count="1249" uniqueCount="808">
  <si>
    <t>Country</t>
  </si>
  <si>
    <t>Setting</t>
  </si>
  <si>
    <t>Population characterisics</t>
  </si>
  <si>
    <t>Total analysed</t>
  </si>
  <si>
    <t>Females</t>
  </si>
  <si>
    <t>Males</t>
  </si>
  <si>
    <t>Age</t>
  </si>
  <si>
    <t>BMI</t>
  </si>
  <si>
    <t>Length of the intervention</t>
  </si>
  <si>
    <t>Follow up since randomization</t>
  </si>
  <si>
    <t>Description of active control condition</t>
  </si>
  <si>
    <t>Device used for self-monitoring and manufacturer</t>
  </si>
  <si>
    <t>What was self-monitored</t>
  </si>
  <si>
    <t xml:space="preserve">	A 2018 </t>
  </si>
  <si>
    <t>Malaysia</t>
  </si>
  <si>
    <t>primary care clinic</t>
  </si>
  <si>
    <t>Adults (35 to 45 y), no chronic illness</t>
  </si>
  <si>
    <t>12 wk</t>
  </si>
  <si>
    <t>NA</t>
  </si>
  <si>
    <t>physical activity counselling, pedometer, goal of 10,000 steps/d, diary (3 days per week documentation)</t>
  </si>
  <si>
    <t>not specified</t>
  </si>
  <si>
    <t>daily step-count - 3 days per week</t>
  </si>
  <si>
    <t>monthly meeting with respective group members (groups of 10-15 people) and researcher for support, motivation and walking activities</t>
  </si>
  <si>
    <t xml:space="preserve">	Alencar 2019 </t>
  </si>
  <si>
    <t>USA</t>
  </si>
  <si>
    <t>flyers, word of mouth, and email list-serve of individuals previously consenting to receive email marketing from inHealth Medical Services</t>
  </si>
  <si>
    <t>Adults (23 to 64 y), participants on stable blood pressure medications who were otherwise determined healthy, did not have metabolic or renal disease, and were not using medications known to alter metabolism</t>
  </si>
  <si>
    <t>3 devices delivered (accelerometer- watch, blood pressure monitor, body composition scale), electronic reporting, video conference initially with calorie recommendations and physical activity guidelines from physicain and dietitian</t>
  </si>
  <si>
    <t>Withings_x0002_ Activite Pop (Cambridge, MA, USA)</t>
  </si>
  <si>
    <t>weekly step-count</t>
  </si>
  <si>
    <t xml:space="preserve">educational online curriculum delivered 1x/wk through video module and educational handout, individualized video-call feedback from the dietitian </t>
  </si>
  <si>
    <t xml:space="preserve">	Andrade 2014 </t>
  </si>
  <si>
    <t>advertisements stating</t>
  </si>
  <si>
    <t>Sedentary adults (18 y or older), no psychiatric illness, back or leg problem, recent heart attack or pathological gambling</t>
  </si>
  <si>
    <t>20 wk</t>
  </si>
  <si>
    <t>pedometer, goal of 10,000 steps/d, meeting, gift cards</t>
  </si>
  <si>
    <t>daily step-count</t>
  </si>
  <si>
    <t>bonus draws of small prizes if a goal of 10000 steps/d was reached on prior 4 days, mean 7 meetings during intervention</t>
  </si>
  <si>
    <t xml:space="preserve">	Arovah 2018 </t>
  </si>
  <si>
    <t>Indonesia</t>
  </si>
  <si>
    <t>public hospital</t>
  </si>
  <si>
    <t>older adults (59 to 72 y), participants were type 2 diabetes mellitus patients</t>
  </si>
  <si>
    <t>24 wk</t>
  </si>
  <si>
    <t>pedometer, log sheet for recording steps</t>
  </si>
  <si>
    <t>educational materials, text messaging (1-3 times/day), neccesity to complete a workbook on a weekly basis, sending weekly steps to the researchers</t>
  </si>
  <si>
    <t xml:space="preserve">	Bickmore 2013 </t>
  </si>
  <si>
    <t>urban ambulatory care practices</t>
  </si>
  <si>
    <t>older adults(65 - 77 y), inactive, free of any medical condition that would limit participation, stable on all medications</t>
  </si>
  <si>
    <t>2 mo</t>
  </si>
  <si>
    <t>12 mo</t>
  </si>
  <si>
    <t>pedometer, diary</t>
  </si>
  <si>
    <t>daily 5 min  videos from tablet simulating face-to-face contact (check-in to determine the course of intervention, provide empathic opportunities and reinforcement, review and set the goals, identify barriers, engage in problem-solving discussion, give a tip of the day)</t>
  </si>
  <si>
    <t>UK</t>
  </si>
  <si>
    <t>poster/email advertisements and screened via an online eligibility questionnaire</t>
  </si>
  <si>
    <t xml:space="preserve">adults (18 to 65 y old)  classified as having low/moderate levels of physical activity, healthy </t>
  </si>
  <si>
    <t>2 wk</t>
  </si>
  <si>
    <t>Pedometer, Completers earned £25; participants were given a goal but were offered no financial incentive to achieve it, receiving only the standard participation vouchers. Goal: participants walking ≤8000 median daily steps were given a goal of 10,000 daily steps, participants walking&gt;8000 steps were given a goal of 12,000.</t>
  </si>
  <si>
    <t>(FI) Participants earned additonal £15 in vouchers to £25 for completion if they met their set goal on 12 of the 14 days; (MCC) participants had the option of putting £0, £5, £10 or all of their time 2 £15 voucher aside. Failing to meet their goal on 12 out of 14 days forfeited whatever they put aside (though still received the standard time 3 £10 voucher); (MCC + FI) - both conditions</t>
  </si>
  <si>
    <t xml:space="preserve">	Cadmus-Bertram 2015 </t>
  </si>
  <si>
    <t>overweight, postmenopausal women</t>
  </si>
  <si>
    <t>4 wk</t>
  </si>
  <si>
    <t>16 wk</t>
  </si>
  <si>
    <t>basic pedometer, printed materials with tips for increasing steps, brief goal-setting process</t>
  </si>
  <si>
    <t>Fitbit One (intervention group), basic pedometer (control group)</t>
  </si>
  <si>
    <t>web-based tracking  helping to identify self-monitoring, combined with other self-regulatory skills (e.g., goal-setting, frequent behavioral feedback), individualized step-goals for the first 4 weeks, a follow-up call at 4 weeks to evaluate progress and refine goals</t>
  </si>
  <si>
    <t>Switzerland</t>
  </si>
  <si>
    <t>students from the University of Lausanne</t>
  </si>
  <si>
    <t>adults (18 years of age or older)</t>
  </si>
  <si>
    <t>18 wk</t>
  </si>
  <si>
    <t>29 wk</t>
  </si>
  <si>
    <t>Participants in the control group did not receive any other notifications, aside from the daily morning message announcing the goal for the day</t>
  </si>
  <si>
    <t xml:space="preserve">	Chiang 2019 </t>
  </si>
  <si>
    <t>Thaiwan</t>
  </si>
  <si>
    <t>college</t>
  </si>
  <si>
    <t>young adults with obesity, not regularly engage in physical activity</t>
  </si>
  <si>
    <t>8 wk</t>
  </si>
  <si>
    <t>smartwatch, goal of 12,000 step/d Monday to Friday, exercise log</t>
  </si>
  <si>
    <t>30-min of continuous moderate-intensity (103 steps/min) walking exercises on 3 days per week monitored by professional instructors in order to maintain a steady brisk walking pace</t>
  </si>
  <si>
    <t xml:space="preserve">	Choi 2016 </t>
  </si>
  <si>
    <t>prenatal clinics and communities</t>
  </si>
  <si>
    <t>Adult women, pregnant</t>
  </si>
  <si>
    <t>Fitbit Ultra, initial in-person session on IOM recommendations for gestational weight gain and safety instruction for promoting PA during pregnancy. Women were asked to increase their steps gradually until they reach at least 8500 steps/day 5 days or more per week.</t>
  </si>
  <si>
    <t>30 min in-person session on  short and long-term goal setting, problem-solving skills, techniques for developing and maintaining social support for PA, and a plan for lapses in the process of increasing PA, information on a healthy diet, access to a mobile phone app, daily messages, activity diary</t>
  </si>
  <si>
    <t xml:space="preserve">	Choi 2019 </t>
  </si>
  <si>
    <t>university campuses, hospitals, community libraries and preschools</t>
  </si>
  <si>
    <t>Adult women with young children</t>
  </si>
  <si>
    <t>Fitbit Zip, initial visit with education on benefits of PA, knowledge and skills to increase PA , personal goals (aksed to increase their steps by 20% each week until they reached at least 10,000 steps/day for 5 days or more per week), information on healthy diet, monthly e-mail remiander on step goals</t>
  </si>
  <si>
    <t>Fitbit Zip</t>
  </si>
  <si>
    <t>Exercising with buddies at least once a week, checking each other’s step counts and encouraging each other to increase steps by exchanging text messages or emoticons using the Fitbit app.</t>
  </si>
  <si>
    <t xml:space="preserve">	Chokshi 2018 </t>
  </si>
  <si>
    <t>4 hospitals in southeastern Pennsylvania</t>
  </si>
  <si>
    <t>Ischemic heart disease patients (18+ y old) acute coronary syndrome or coronary catheterization for suspected ischemic heart disease</t>
  </si>
  <si>
    <t>pedometer, goal of 10,000 steps per day, no other interventions</t>
  </si>
  <si>
    <t>patients were offered a loss-framed financial incentive for 16 wk of the intervention, each week $14 was allocated to the account with $2 deducted if the daily goal was not met</t>
  </si>
  <si>
    <t xml:space="preserve">	Chudowolska-Kielkowska 2020 </t>
  </si>
  <si>
    <t>Poland</t>
  </si>
  <si>
    <t>one ambulatory, primary care clinic</t>
  </si>
  <si>
    <t>sedentary older adults (50 to 75 y) with at least one cardiovascular risk factor (obesity, hypertension, heart failure, etc.)</t>
  </si>
  <si>
    <t>3 mo</t>
  </si>
  <si>
    <t>individual 10 min nurse-led tutorial with distributed hand-outs on the health benefits of regular physical activity; simple pedometer; told to note the number of steps per day</t>
  </si>
  <si>
    <t>a goal of minimum 7000 steps per day; phone calls to assess the goal attainment and support its achievement every 2 weeks</t>
  </si>
  <si>
    <t xml:space="preserve">	Creel 2016 </t>
  </si>
  <si>
    <t>hospital</t>
  </si>
  <si>
    <t>adults before and after bariatric surgery</t>
  </si>
  <si>
    <t>6 mo</t>
  </si>
  <si>
    <t>pedometer, 1 page pedometer handout promoting achievement of 10,000 step/d, step journal</t>
  </si>
  <si>
    <t>individual counselling be surgeon and a certified exercise professional delivered on each monthly visit, printed materials in a manual (other than handout for the C group), individual goal setting</t>
  </si>
  <si>
    <t xml:space="preserve">	Croteau 2014 </t>
  </si>
  <si>
    <t>internal medicine practice</t>
  </si>
  <si>
    <t>inactive adults over the age of 50 y old</t>
  </si>
  <si>
    <t>6 month PA program consisting of participant manual, counseling (goal-setting, activity selection, strategies for overcoming barriers), pedometer usage, and self-monitoring, step goal - 10-15% over baseline</t>
  </si>
  <si>
    <t>group meetings each month with a fitness professional for the first 6 months including (turning in the calendars, receiving new calendars, determining new goals and sharing strategies used to increase PA)</t>
  </si>
  <si>
    <t xml:space="preserve">	Damschroder 2020 </t>
  </si>
  <si>
    <t>administrative medical record data for US veterans</t>
  </si>
  <si>
    <t>adults (younger than 65 y old)</t>
  </si>
  <si>
    <t>objective PA monitoring (Fitbit), weight self-monitoring weekly (provided scale), app for data visualizations, administrative only message reminders as needed</t>
  </si>
  <si>
    <t>personalized coaching (automated in-app motivational messages - 3/week for the duration of the 12-month program, telephone-based human health coaching - up to 3 calls, spaced over the first 9 weeks and personalized weekly goal setting (increase by 5 min a day a  week up to 60 min)</t>
  </si>
  <si>
    <t xml:space="preserve">	De Cocker 2012 </t>
  </si>
  <si>
    <t>Belgium</t>
  </si>
  <si>
    <t>general practitioners</t>
  </si>
  <si>
    <t>adults</t>
  </si>
  <si>
    <t>pedometer, generic paper booklet on how to increase PA mailed, activity log</t>
  </si>
  <si>
    <t>computer-tailored step advice (participants had to request the computer-tailored step advice once a month, than they were emailed invitation to access the computer-tailored step advice for a second or third time to receive feedback on their progress. If
they did not, a reminder was emailed to reinvite participants to request the computer-tailored step advice for the first time)</t>
  </si>
  <si>
    <t xml:space="preserve">	DiFrancisco-Donoghue 2018 </t>
  </si>
  <si>
    <t>adults (18 - 29 y old), medical students, healthy</t>
  </si>
  <si>
    <t>10 mo</t>
  </si>
  <si>
    <t xml:space="preserve">received Fitbits only but no emails throughout the study, no gaols given </t>
  </si>
  <si>
    <t>Fitbit Flex</t>
  </si>
  <si>
    <t>encouraged to participate in mentored weekly walk/runs that were conducted by faculty and administration of the medical school, received weekly emails offering fitness challenges in an attempt to foster an increase in step count (every week for 39 weeks), encouraged to compete in weekly challenges with each other and were given feedback on step count separated by men and women.</t>
  </si>
  <si>
    <t xml:space="preserve">	Dorough 2014 </t>
  </si>
  <si>
    <t>adult (45 to 65 y old), overweight, no major chronic disease and medications</t>
  </si>
  <si>
    <t>10 wk</t>
  </si>
  <si>
    <t>pedometer, Tanita Digital Wight Scale, encouragement to follow a DASH eating plan and to get 30 min of physical activity a day</t>
  </si>
  <si>
    <t>additionally received an Omron Automatic Blood Pressure Monitor, Wellness Tracker and Dash Diary online, received weekly newlsetters providing feedback &amp; goal-setting as well as continued support through problem-solving</t>
  </si>
  <si>
    <t xml:space="preserve">	Ellingson 2019 </t>
  </si>
  <si>
    <t>campus community</t>
  </si>
  <si>
    <t>adults (24 to 65 y old), overweight, no diseases</t>
  </si>
  <si>
    <t>Fitbit Charge, intended to be comparable to a real-world setting wherein individuals purchase and utilize activity trackers on their own</t>
  </si>
  <si>
    <t>motivational interviewing and habit education provided by a trained health coach, self-selected PA goals and motivation for change during phone calls on 4th and 8th week</t>
  </si>
  <si>
    <t xml:space="preserve">	Ellis 2019 </t>
  </si>
  <si>
    <t>university medical center</t>
  </si>
  <si>
    <t>adults (18+ y old), with Parkinson disease</t>
  </si>
  <si>
    <t xml:space="preserve">pedometer, individual walking and exercise program to reach personalized number of steps in a paper format with photos, paper calendars to track to track activity, </t>
  </si>
  <si>
    <t>Fitbit Zip in an intervention group and Omron Hj-113 Pocket pedometer in the active control group without graphical feedback</t>
  </si>
  <si>
    <t>mHealth app with notifications, repomte adaptation of exercise plans by a physical therapist 2-3 times per month (participants were contacted via a text-messaging feature, however othercontacts were also possible) , adherence and progress toward goals was graphically displayed, videos with exercise prescription</t>
  </si>
  <si>
    <t xml:space="preserve">	Finkelstein 2016 </t>
  </si>
  <si>
    <t>Singapore</t>
  </si>
  <si>
    <t>general population from 13 diverse industries</t>
  </si>
  <si>
    <t>adults (21 to 65 y old), insufficiently active based on selfreported physical activity, non-pregnant.</t>
  </si>
  <si>
    <t xml:space="preserve">12 mo </t>
  </si>
  <si>
    <t>activity tracker and website, educational booklet</t>
  </si>
  <si>
    <t>MVPA bout min per week, mean daily steps and percentage of participants who met the 70 000 weekly step goal</t>
  </si>
  <si>
    <t>tracker plus charitable incentives (charity), and tracker plus cash incentives (cash); two incentive groups could earn weekly incentives: S$15 if they logged between 50 000 and 70 000 steps per week or S$30 if they logged 70 000 or more steps per week</t>
  </si>
  <si>
    <t xml:space="preserve">	Fitzsimons 2012 </t>
  </si>
  <si>
    <t>local area, community stands, local press</t>
  </si>
  <si>
    <t>Adults (18 to 65 y old), overweight</t>
  </si>
  <si>
    <t>48 wk</t>
  </si>
  <si>
    <t>individualised 12 week walking programme, 5 minutes of brief advice on goal-setting and self-monitoring and a pedometer (minimal intervention)</t>
  </si>
  <si>
    <t>individual physical activity consultation focusing on relapse prevention strategies, encouragement and maintenance of activity following 12 wk walking programme, at 24 weeks participants received a written physical activity advice leaflet and at 36 weeks remote, support in the form of a short telephone consultation</t>
  </si>
  <si>
    <t xml:space="preserve">	Frensham 2020 </t>
  </si>
  <si>
    <t>Australia</t>
  </si>
  <si>
    <t xml:space="preserve"> ﬂyers, cancer support groups, newspaper advertisements in region</t>
  </si>
  <si>
    <t>Adults (29 to 84 y old), overweight</t>
  </si>
  <si>
    <t>access to pedeomter only</t>
  </si>
  <si>
    <t>pedometer and access to an online resource that included an interactive physical activity diary to facilitate individualized goal setting, self-monitoring/management, and reinforcement for behavior change, weekly step goals emailed</t>
  </si>
  <si>
    <t xml:space="preserve">	Fukuoka 2019 </t>
  </si>
  <si>
    <t>medical clinics, churches, universities, and community centers in San Francisco</t>
  </si>
  <si>
    <t>physically inactive women (25 to 65 y old), no medical conditions or physical problems that required special attention</t>
  </si>
  <si>
    <t xml:space="preserve">3 mo </t>
  </si>
  <si>
    <t>accelerometer, no physical activity intervention</t>
  </si>
  <si>
    <t>Omron Active Style Pro HJA-350IT</t>
  </si>
  <si>
    <t>total daily steps and duration of moderate to vigorous physical activity (MVPA)</t>
  </si>
  <si>
    <t>brief in-person counseling sessions at randomization, 6 weeks, and 3 months and the mPED app with a daily message or video clip and a daily diary; activity goals, displayed in the weekly goals option,were automatically increased by 20% each week, relative to the participant’s run-in average, until a goal of 10 000 steps per day, 7 days per week, was reached</t>
  </si>
  <si>
    <t xml:space="preserve">	Gell 2020 </t>
  </si>
  <si>
    <t xml:space="preserve"> medical center</t>
  </si>
  <si>
    <t>adults, overweight,  history of stage I–III cancer</t>
  </si>
  <si>
    <t xml:space="preserve">general recommendations on the minimal levels of recommended MVPA to achieve health benefits, pedometer </t>
  </si>
  <si>
    <t>Fitbit One</t>
  </si>
  <si>
    <t>minutes spent in MVPA</t>
  </si>
  <si>
    <t xml:space="preserve">self-directed goal setting with a health coach, who also helped in barrier identification, options to overcome barriers, and exercise options for achieving goals, follow-up calls from the coach on weeks 2,4 and 8 of 15-20 min duration for revision and encouragement, 25 text messages over 8 weeks. </t>
  </si>
  <si>
    <t xml:space="preserve">	Gremaud 2018 </t>
  </si>
  <si>
    <t>university</t>
  </si>
  <si>
    <t>sedentary adults (21 to 65y old)</t>
  </si>
  <si>
    <t>Fitbit Zip, text message reminders to wear their Fitbit on days following nonwear days</t>
  </si>
  <si>
    <t>daily step-count and active minutes</t>
  </si>
  <si>
    <t>access to a mobile health game and web app, weekly virtual walking races, participants classified into leagues, text message each morning on the progress in the race and a daily activity challenge and bonus steps</t>
  </si>
  <si>
    <t xml:space="preserve">	H-Jennings 2016 </t>
  </si>
  <si>
    <t>adult students (18 to 19 y old), physically active</t>
  </si>
  <si>
    <t xml:space="preserve">8 wk </t>
  </si>
  <si>
    <t>14 wk</t>
  </si>
  <si>
    <t xml:space="preserve">Educational modules on importance of sleep in maintenance of longterm health, impacts of sleep disturbances on the brain and body, and physiological and psychological consequences of chronic stress on healthand, Fitbit Flex </t>
  </si>
  <si>
    <t xml:space="preserve">daily step-count </t>
  </si>
  <si>
    <t>game including selection of daily challenges, a leaderboard to track individual and houses’ progress, and a forum for discussions and references on physical activity and sleep</t>
  </si>
  <si>
    <t xml:space="preserve">	Harries 2016 </t>
  </si>
  <si>
    <t>public spaces in Bristol</t>
  </si>
  <si>
    <t>adults (22 to 40 y old) relatively healthy, young to early middle-aged men</t>
  </si>
  <si>
    <t>6 wk</t>
  </si>
  <si>
    <t>App and a series of automated e-mails, feedback on the participant’s own steps</t>
  </si>
  <si>
    <t>bActive app</t>
  </si>
  <si>
    <t>Feedback on the participant’s own steps and on the average steps taken by others in their group</t>
  </si>
  <si>
    <t xml:space="preserve">	Harris 2017 </t>
  </si>
  <si>
    <t>seven general (family) practices in South London</t>
  </si>
  <si>
    <t>physically inactive adults 45 to 75 y old</t>
  </si>
  <si>
    <t>simple pedometer, patient handbook and PA diary with BCTs and individual 12-wk walking plan with a goal of adding 3000 steps/d on 5 or more days to a baseline step-count</t>
  </si>
  <si>
    <t>SW-200 Yamax Digi-Walker</t>
  </si>
  <si>
    <t>three individually tailored practice nurse PA (10- to 20-min) consultations at weeks 1, 5, and 9.</t>
  </si>
  <si>
    <t xml:space="preserve">	Hemmingsson 2008 </t>
  </si>
  <si>
    <t>Sweden</t>
  </si>
  <si>
    <t>University Hospital</t>
  </si>
  <si>
    <t>adults, grade III obesity, no contraindication for PA</t>
  </si>
  <si>
    <t>validated pedometer, PA behavior change booklet, five monthly 2-h group meetings  including basic instruction to be physically active</t>
  </si>
  <si>
    <t>SW-701 Yamax Digi-Walker</t>
  </si>
  <si>
    <t xml:space="preserve">Ten 2-h group meetings in every other week in eddition to standard care, aimed as specifically at walking promotion </t>
  </si>
  <si>
    <t xml:space="preserve">	Hornbuckle 2012 </t>
  </si>
  <si>
    <t>Hospital</t>
  </si>
  <si>
    <t>inactive middle-aged women (39 to 61 y old)</t>
  </si>
  <si>
    <t>pedometer given, instructed to increase daily pedometer-measured walking to &gt;10,000 steps per da, Each night before retiring, subjects recorded the number of steps on the pedometer for that day, noted the time at which the pedometer was taken off, and briefly reported the specific activities engaged in during that day</t>
  </si>
  <si>
    <t xml:space="preserve">supervised progressive RT (resistance  training)  program 2 days/week, three sets of 8–12 repetitions of 10 resistance exercises for the lower and upper body, and all training sessions were supervised by trained exercise science students  </t>
  </si>
  <si>
    <t>Adults, sedentary lifestyle (&lt;7,000 steps/day), nondiabetic, ambulatory, &lt;396 pounds in weight</t>
  </si>
  <si>
    <t xml:space="preserve">weight scale, step-tracking accelerometer watch, but no health coaching sessions, or team member feedback on steps per day or calories </t>
  </si>
  <si>
    <t>Withings Activite Steel step-tracking accelerometer watch (Withings, Inc., Cambridge, MA)</t>
  </si>
  <si>
    <t xml:space="preserve">	Katz 2018 </t>
  </si>
  <si>
    <t>University of California, San Francisco rheumatology clinics</t>
  </si>
  <si>
    <t>adults with rheumatoid arthritis, no engaging in regular exercise, no stroke, congestive heart failure  or chronic obstructive pulmonary disease in past 6 months</t>
  </si>
  <si>
    <t>21 wk</t>
  </si>
  <si>
    <t>educational booklet and discussion, plus a pedometer and a diary to record daily step counts from the pedometer</t>
  </si>
  <si>
    <t>FitBit Zip</t>
  </si>
  <si>
    <t>daily step count, fatigue</t>
  </si>
  <si>
    <t>individualized daily step targets based on the week of activity monitoring between the baseline and randomization visits, and were calculated to increase participants’ average daily step counts by 10% for every 2weeks of the intervention period</t>
  </si>
  <si>
    <t xml:space="preserve">	Kullgren 2014 </t>
  </si>
  <si>
    <t>Philadelphia retirement communities and an AARP member event</t>
  </si>
  <si>
    <t>Older adults (65+ y old) non myocardial infarction, stroke, or orthopedic surgery; severe cardiac, lung, renal disease</t>
  </si>
  <si>
    <t>pedometer, daily walking goals (increasing their daily steps by 50% in 5 days per week for the next 16 weeks), and weekly feedback on goal achievement, provided with links to information about exercise and walking</t>
  </si>
  <si>
    <t>Fitbit (type not specified)</t>
  </si>
  <si>
    <t>proportion of days in which daily step goals were met, change in mean daily steps</t>
  </si>
  <si>
    <t>entry into a lottery with potential to earn up to $200 each week walking goals were met (Financial Incentive), linkage to 4 other participants through an online message board (Peer Network), or both interventions (Combined)</t>
  </si>
  <si>
    <t xml:space="preserve">	Liu 2020 </t>
  </si>
  <si>
    <t>public libraries, grocery stores and shopping malls</t>
  </si>
  <si>
    <t>older adults, physically active (i.e., who had 7,000–10,000 daily steps or above everyday</t>
  </si>
  <si>
    <t xml:space="preserve">mobile application (WeRun) used to track walking steps </t>
  </si>
  <si>
    <t>mobile aplication to register daily walking steps (WeRun)</t>
  </si>
  <si>
    <t>mean weekly steps</t>
  </si>
  <si>
    <t>social engagement, ineraction via text messages with group members (WeChat app), sharing of number of steps with group members, gamification</t>
  </si>
  <si>
    <t xml:space="preserve">	Martin 2015 </t>
  </si>
  <si>
    <t>ambulatory cardiology center in Baltimore, Maryland</t>
  </si>
  <si>
    <t xml:space="preserve">majority of participants were adults (18 - 69 y old), obese, 23% had diabetes, and 29% CHD, individuals reporting &lt;3 days/week of moderate or vigorous leisure-time activity lasting ≥30 min/day </t>
  </si>
  <si>
    <t>patients could continuously view their daily step count, activity time, and aerobic activity time through smartphone and Web interfaces; Fitbug app also provided a history tab allowing review of data from previous days</t>
  </si>
  <si>
    <t>Fitbug Orb (Chicago, IL)</t>
  </si>
  <si>
    <t>daily step count, activity time, and aerobic activity time</t>
  </si>
  <si>
    <t>smart text messages informed by real-time activity: 3 times/day aimed at individual encouragement and fostering feedback loops by a fully automated, physician-written, theory-based algorithm using realtime activity data and 16 personal factors with a 10 000 steps/day goal</t>
  </si>
  <si>
    <t xml:space="preserve">	Matz-Costa 2018 </t>
  </si>
  <si>
    <t>local senior center, community-based organizations, local businesses</t>
  </si>
  <si>
    <t>older adults, relatively inactive</t>
  </si>
  <si>
    <t xml:space="preserve">pedometer, technology-assisted self-monitoring of daily activity via pedometers (to measure PA) and daily tablet-based surveys (to measure cognitive activity, social interaction and physical activity) </t>
  </si>
  <si>
    <t xml:space="preserve">Fitbit Zip </t>
  </si>
  <si>
    <t>daily tablet-based surveys; psychoeducation + goal-setting via a 3-hour workshop; and peer mentoring via phone 2X/week for 2.5 weeks</t>
  </si>
  <si>
    <t xml:space="preserve">	Memon 2018 </t>
  </si>
  <si>
    <t>Pakistan</t>
  </si>
  <si>
    <t>female undergraduate women (18 to 25 y old), overweight or obese,non-communicable diseases, including diabetes and obesity, being active</t>
  </si>
  <si>
    <t>5 wk</t>
  </si>
  <si>
    <t>step-counting application for mobile phones installed</t>
  </si>
  <si>
    <t>Moves smartphone application (ProtoGeoOy Inc., Helsinki, Finland)</t>
  </si>
  <si>
    <t>Intervention group was given a weekly financial incentive based on the following schedule: a) PKR100 (0.95 American dollar [USD]) for logging 7500-9999 steps for &gt;4 days per week; b) PKR200 (1.9 USD) for logging &gt;10000 steps for &gt;4 days per week; and c) PKR300 (2.85 USD) for logging &gt;12000 steps for &gt;4 days per week.</t>
  </si>
  <si>
    <t xml:space="preserve">	Monroe 2017 </t>
  </si>
  <si>
    <t>list servs and word of mouth</t>
  </si>
  <si>
    <t>Insufficiently active middle-aged adults, overweight or obese, no medical contraindication for engaging in PA</t>
  </si>
  <si>
    <t>instruction to wear pedometer on a daily basis for 3 months, goal to walk minimum of 3,000 steps/day above their personal, average daily baseline step count on at least 5 days/week and and advised to progress toward it by aiming to accumulate at least 1,000 steps/day and 2,000 steps/day above their average daily baseline step count on at least 5 days during the first week and second week, respectively,access to 2 websites and a mobile phone app, online PA log embedded in the website, personal e-mail with feedback of Wk 1 to 3 on reaching goals</t>
  </si>
  <si>
    <t>Omron HJ-720ITC (Omron Healthcare, Inc., Lake Forest, IL)</t>
  </si>
  <si>
    <t>Online Social Support group with access to social support tools on the website, placed in groups of 3 to 5 people with discussion boards, encouraged toengage in the discussion board at least three times/week, access to an instant message tool, allowing for real-time communication with their subgroup members via typed text</t>
  </si>
  <si>
    <t xml:space="preserve">	Morgan 2013 </t>
  </si>
  <si>
    <t>media articles and workplace in Region of New South Wales, Australia</t>
  </si>
  <si>
    <t>overweight and obese men, no heart disease in the preceding 5 years, no diabetes and orthopedic or joint problems, no medications that might affect body weight</t>
  </si>
  <si>
    <t>3 months</t>
  </si>
  <si>
    <t>6 months</t>
  </si>
  <si>
    <t>gender-tailored weight loss materials (DVD, handbooks, pedometer, tape measure for waist circumference and a kilojoule counter book, exercise diary, self-set goals)</t>
  </si>
  <si>
    <t>Yamax SW-200 pedometer (Yamax Corporation, Kumamoto City, Japan)</t>
  </si>
  <si>
    <t>daily step-count, waist circumference and  kilojoule (by using counter book)</t>
  </si>
  <si>
    <t>use the online food and exercise diary on website, record their weight at least once a week and received seven feedback emails about their food and exercise diary entries</t>
  </si>
  <si>
    <t xml:space="preserve">	Moy 2015 </t>
  </si>
  <si>
    <t>USA, Puerto Rico</t>
  </si>
  <si>
    <t>national database of veterans</t>
  </si>
  <si>
    <t>Veterans with COPD (67 +-9 y old), sedentary (150 min of self-reported PA per week), medical clearance</t>
  </si>
  <si>
    <t>4 months</t>
  </si>
  <si>
    <t>0 (in fact, there is 8 months follow-up, but result are not described in this paper)</t>
  </si>
  <si>
    <t>Instructed to wear the pedometer every day, upload step-count data at least monthly, and report adverse events, received no instructions about exercise, were not assigned step-count goals, and had access to a webpage that only showed a count of what week they were in the study.</t>
  </si>
  <si>
    <t>Omron HJ-720 ITC pedometer (Omron Heatlcare, Inc.)</t>
  </si>
  <si>
    <t>Daily step-count</t>
  </si>
  <si>
    <t>uploading step-count data at least once a week, recevied steps goal for every week - lowest of the three: (1) the average of the most recent 7 days of step counts 1 600 steps, (2) the previous goal 1 600 steps, or (3) 10,000 steps per day, acces to motivational website, online community forum</t>
  </si>
  <si>
    <t xml:space="preserve">	Nakata 2011 </t>
  </si>
  <si>
    <t>Japan</t>
  </si>
  <si>
    <t xml:space="preserve">Mito Kyodo General Hospital in Japan </t>
  </si>
  <si>
    <t>adults (45 to 60 y old) overweight, diagnosis of metabolic syndrome according to the Japanese criteria, no drug treatment for diabetes, no coronary disease or stroke, or current or planned pregnancy</t>
  </si>
  <si>
    <t>Motivational lecture (2h), educational section (2h), educational materials (textbooks, notebooks), pedometer</t>
  </si>
  <si>
    <t>FB-720 (Tanita, Tokyo, Japan)</t>
  </si>
  <si>
    <t>Daily step-count, body weight, content of meal</t>
  </si>
  <si>
    <t>support programme in group of 20-30 people (2 hours/week), 14 hours in total</t>
  </si>
  <si>
    <t xml:space="preserve">	Patel 2016 </t>
  </si>
  <si>
    <t>Health insurance organization (Independence Blue Cross)</t>
  </si>
  <si>
    <t>sedentary adults (18+ y old), less than 5000 steps per day, healthy</t>
  </si>
  <si>
    <t>13 wk</t>
  </si>
  <si>
    <t>pedometer, no feedback</t>
  </si>
  <si>
    <t>Moves smartphone application (ProtoGeo Oy Inc., Helsinki, Finland).</t>
  </si>
  <si>
    <t xml:space="preserve">Mean proportion of participant days that the 7000 step goal,  daily steps-count </t>
  </si>
  <si>
    <t>An individual incentive arm, a team incentive arm, and an arm that combined individual and team incentives; feedback whether the goal of at least 7000 steps was achieved on the prior day for 26 wk; In the individual incentive arm, each participant on a winning team was eligible to collect $50, but only if he or she had at least 7000 steps on the prior day. In the teamincentive arm, each participant on the winning team was eligible to collect $50 only if all four members of their team had each achieved at least 7000 steps on the prior day. In the combined incentive arm, each participant on the winning team was eligible to collect $20 if he or she had at least 7000 steps on the prior day and then an additional $10 for each team member who also had at least 7000 steps on the prior day.</t>
  </si>
  <si>
    <t xml:space="preserve">	Patel 2017 </t>
  </si>
  <si>
    <t>Framingham Heart Study</t>
  </si>
  <si>
    <t>Adults</t>
  </si>
  <si>
    <t>12 weeks</t>
  </si>
  <si>
    <t>24 weeks</t>
  </si>
  <si>
    <t>Before interwention was conducted 2 weeks run-in period, were for every participant was established the average step count level (baseline). Each participant select a goal step increase of 33%, 40%, 50% or any goal at least 1000 steps greater than baseline. All participants selected wheter to recive study communication by text message, email, or both. Participants download a smartphone aplication or get wrist-worn wearable device.</t>
  </si>
  <si>
    <t>Smartphone application (Moves; ProtoGeo Oy or Fitbit, Inc), wrist-worn device (Fitbit Flex, Fitbit, Inc)</t>
  </si>
  <si>
    <t>Participants in intervention group were entered into a game. They participate in the game with family member. Each day, the family was informed of one member who was selected at random to represent their team. If he or she had reached step goal for current day, they could keep 10 points, otherwise they were losing it. If the family had 50 points or more at the end of the week, they advanced up a level. If they ended intervention with the high level, they win small award.</t>
  </si>
  <si>
    <t xml:space="preserve">	Pears 2016 </t>
  </si>
  <si>
    <t xml:space="preserve"> UK National Health Service primary care practices in urban and rural areas in the East of England</t>
  </si>
  <si>
    <t>adults (40–74 y old) not previously diagnosed with heart disease, stroke, diabetes, or kidney disease</t>
  </si>
  <si>
    <t>4 weeks</t>
  </si>
  <si>
    <t>Participants received the usual health check meeting which aims to help prevent cardiovascular disease, the goal steps recommendation (10 000 steps), pedometer, booklet with educational materials: information on physical activity and step recommendations, instructions on how to use the pedometer to monitor daily steps; and tips for increasing the number of steps.</t>
  </si>
  <si>
    <t>Yamax SW200 Digi-Walker</t>
  </si>
  <si>
    <t>Additional educational service about the benefits of physical activity; diary with setted goals, action plan and self-monitor physical activity; booklet with educational materials; tips for inceasing physical activity; information about local physical activity resources.</t>
  </si>
  <si>
    <t xml:space="preserve">	Petry 2013 </t>
  </si>
  <si>
    <t>University Health Center</t>
  </si>
  <si>
    <t>sedentary older adults, walking &gt;1,000 but &lt;6,000 steps per day, with mild to moderate hypertension</t>
  </si>
  <si>
    <t>Wear pedometer every day, meet weekly with staff, encouraged to reach steps ≥6,000 steps per day in week 1, ≥8,000 steps per day in week 2, and ≥10,000 steps per day for the remainder of the 12-week treatment period and educated about health benefits of walking. At weekly meeting, which lasted 10–15 minutes, pedometer data were recorded, and participants were congratulated for every day they walked the target number of steps, they also received $5 gift card if pedometer data were registered on the prior 7 days</t>
  </si>
  <si>
    <t>Omron HJ-112 (Kyoto, Japan)</t>
  </si>
  <si>
    <t>Participants were incentivized by lottery with gifts for each day they reached the goal steps ((≥6,000 in week 1, ≥8,000, in week 2, and ≥10,000 in weeks 3–12). At each visit, they earned one draw from a prize bowl for each day they walked the target number of steps. They also earned bonus draws each week that they met the goal on at least 6 days. Bonus draws started at 3 and increased by 3 at each consecutive visit of meeting the target number of steps at least 6 of 7 days up to</t>
  </si>
  <si>
    <t xml:space="preserve">	Plotnikoff 2013 </t>
  </si>
  <si>
    <t>Canada</t>
  </si>
  <si>
    <t>hospitals and community clinics</t>
  </si>
  <si>
    <t xml:space="preserve">insufficiently active adults with type 2 diabetes mellitus </t>
  </si>
  <si>
    <t>12 months</t>
  </si>
  <si>
    <t>18 months</t>
  </si>
  <si>
    <t>Educational materials about physical activity, pedometer, logbook and calendar to chart their progress (no steps goal but activity goal 150 min/week)</t>
  </si>
  <si>
    <t>Not specified</t>
  </si>
  <si>
    <t>PA (self-reported) minutes per week;  3-day step count.</t>
  </si>
  <si>
    <t>Telephone counseling (first month: weekly, next month: biweekly, other: montly)</t>
  </si>
  <si>
    <t xml:space="preserve">	Polgreen 2018 </t>
  </si>
  <si>
    <t>University of Iowa students, faculty, staff and retirees and a newsletter distributed in all hospital cafeterias</t>
  </si>
  <si>
    <t>diabetes or pre-diabete adults (19 to 75 y old), obese</t>
  </si>
  <si>
    <t xml:space="preserve">6 mo </t>
  </si>
  <si>
    <t xml:space="preserve">Fitbit, access to Fitbit app, 40-page brochure about healthy weight loss, 3 in-person visits, </t>
  </si>
  <si>
    <t>The goal-setting group was sent text-message reminders to wear their Fitbit and daily text messages asking for a step goal.</t>
  </si>
  <si>
    <t xml:space="preserve">	Prestwich 2017 </t>
  </si>
  <si>
    <t>local media sources and direct approaches</t>
  </si>
  <si>
    <t>Physically inactive adults (18 - 65 y old)</t>
  </si>
  <si>
    <t>Pedometer, a goal of at least 10 000 step per day, study website to log every 7 days to answer a question regarding how much activity they did while notwearing their pedometer</t>
  </si>
  <si>
    <t>Yamax CW-300</t>
  </si>
  <si>
    <t>(Self-monitoring group) asked to log onto the study website at least once every 7 days to record their number of pedometer steps, also able to track changes in their pedometer steps over the course of the study via graphical and tabular feedback; (Competition) received feedback relating to how their pedometer steps compared to other participants in their condition</t>
  </si>
  <si>
    <t xml:space="preserve">	Raedeke 2017 </t>
  </si>
  <si>
    <t>physically active adults, overweight</t>
  </si>
  <si>
    <t>10 weeks</t>
  </si>
  <si>
    <t>30 weeks</t>
  </si>
  <si>
    <t>Participants in both group met once a week with their respective group for an approximately 30-min walk. All participants were given a pedometer. Participants were also informed of both the 10,000-step guideline and public health PA recommendations.</t>
  </si>
  <si>
    <t>Omron Pedometer (Model HJ-112)</t>
  </si>
  <si>
    <t>Daily step count, PA self-efficacy, and barrier efficacy</t>
  </si>
  <si>
    <t>Participants in this condition receive feedback from the research staff about their PA goals and step counts. They meet after weekly walk for 30 minutes to discuss self-regulatory strategies and they were encouraged to share successes/ challenges with their group.</t>
  </si>
  <si>
    <t xml:space="preserve">	Richardson 2010 </t>
  </si>
  <si>
    <t>sedentary, ambulatory adults (24 to 82 y old), overweight, type 2 diabetes or coronary artery disease</t>
  </si>
  <si>
    <t>16 weeks</t>
  </si>
  <si>
    <t>Participants were enrolled in an Internet-mediated walking program. Participants had access to personalized intervention webpage.</t>
  </si>
  <si>
    <t>Omron HJ-720-ITC</t>
  </si>
  <si>
    <t xml:space="preserve">Daily step count </t>
  </si>
  <si>
    <t>Participants allocated to Intervention could read or post messages to other participants.</t>
  </si>
  <si>
    <t xml:space="preserve">	Richardson 2016 </t>
  </si>
  <si>
    <t>Veterans Administration Medical centers</t>
  </si>
  <si>
    <t>6 month</t>
  </si>
  <si>
    <t>Participants received five sessions of dietitian-delivered, one-on-one nutritional counseling for weight loss. They received also  simple pedometer with manual step count logging and step count walking goals. Participants reviewed their step count logs with the dietitians, this information was used to collaboratively set a new step count goal. Participants were encouraged to increase their daily walking target by 10% to 25% after each session.</t>
  </si>
  <si>
    <t>Digiwalker SW 200 (simple pedometer); SportBrain iStep X (enhanced pedometer)</t>
  </si>
  <si>
    <t>Daily step count, accelerometer-measured physical activity (time), weight loss (kg)</t>
  </si>
  <si>
    <t xml:space="preserve">Participants recived an uploading pedometer with internet mediated step count feedback and goals. They get motivational messages and feedback on the SportBrain.com website. Participants were encouraged to engage in an online community where they could read and post messages about their walking program. </t>
  </si>
  <si>
    <t xml:space="preserve">	Robinson 2019 </t>
  </si>
  <si>
    <t>flyers, community events, and online advertisements in the greater Boston-area.</t>
  </si>
  <si>
    <t>inactive, healthy adults (35 to 69 y old)</t>
  </si>
  <si>
    <t>11 weeks</t>
  </si>
  <si>
    <t>daily emails asking participansts to record their steps and answer a few questions about their experiences that day.</t>
  </si>
  <si>
    <t>Pedometr: Fitbit Zip wireless activity tracker</t>
  </si>
  <si>
    <t>(1) daily step-count and; (2) time spent in moderate-to-vigorous physical activity (MVPA)</t>
  </si>
  <si>
    <t>regular mailing every evening for 4 weeks with the implementation intention intervention strategies (daily schedule planning instructions, goals to increase their steps, or maps); a goal to increase the number of daily steps each week, increments of 2,000.</t>
  </si>
  <si>
    <t xml:space="preserve">	Rowley 2019 </t>
  </si>
  <si>
    <t>community via  mass media announcements, mailed invitations, and recruitment postings, Arizona</t>
  </si>
  <si>
    <t xml:space="preserve">inactive older adults (55 to 80 y old), achieving less than 7,500 steps per day, no orthopedic limitations </t>
  </si>
  <si>
    <t>the goal to increase their daily step count by 10% each week until they met 10,000 steps per day after which they were instructed to maintain 10,000 steps per day; participanst received a free pedometer and a US$50 honorarium</t>
  </si>
  <si>
    <t>Omron HJ-720ITC pedometer</t>
  </si>
  <si>
    <t>tailored feedback via an online platform weekly that included:  discussion forum and access to “ask the expert” each week, and 1) during weeks 1 to 3: providing cognitive understanding of the benefits of PA, education on national recommendations, and self-awareness of current activity levels: the comparison of graphically represented uploaded steps per day with nationally recommended amounts. 2) during weeks 4 to 12: further educational information, setting manageable daily step targets, the comparison of graphical representations of daily steps with goals, a series of congratulatory screens in case of compliance with set goals (defined as meeting walking step targets 5 out of 7 days) and series of interactive screens to collect barriers to accomplishing the goal and deliver motivational messages in case of non-compliance; encouraging to maintain this level of activity through continued tailored messaging in case of reached the 10,000-steps-per day goal</t>
  </si>
  <si>
    <t xml:space="preserve">	Serper 2020 </t>
  </si>
  <si>
    <t>post transplant physically inactive adults with kidney transplant recipients or liver transplant</t>
  </si>
  <si>
    <t>18 weeks</t>
  </si>
  <si>
    <t xml:space="preserve">standard instructions regarding healthy diet and physical activity that are provided after transplant+accelorometer +access to an online portal with health information including answers to health engagement questions as well as links with educational online resources regarding healthy diet and physical activity. </t>
  </si>
  <si>
    <t>wearable accelerometer (iOS or Android),</t>
  </si>
  <si>
    <t xml:space="preserve">Individualized goals was an increasing by 15% daily steps count every 2-weeks (in relation to the mean steps during the 2-week run-in period) at a maximum goal 7000 steps. Financial incentives: a loss of $3 for each day that a participant failed to meet their step goal and $3 for incorrectly answer or lack of answer two true/false transplant-specific health engagement questions (they received paper and online copies of the questions and correct answers upon enrollment) each week during the intervention period from virtual account with credit of $54 </t>
  </si>
  <si>
    <t xml:space="preserve">	Shin 2017 </t>
  </si>
  <si>
    <t>South Korea</t>
  </si>
  <si>
    <t>students from Seoul National University</t>
  </si>
  <si>
    <t>adults (20 to 39 y old) male students, with overweight or obesity</t>
  </si>
  <si>
    <r>
      <t xml:space="preserve">standardized education materials+ a one-to-one education on diet and exercise from a trained nurse for 5 minutes each session (clinical consequence of obesity; a dietary recommendation for weight loss) + The goal is </t>
    </r>
    <r>
      <rPr>
        <sz val="12"/>
        <color rgb="FF231F20"/>
        <rFont val="Calibri"/>
        <family val="2"/>
        <scheme val="minor"/>
      </rPr>
      <t>weight loss by 3%, 5%, and 7% of baseline at weeks 4, 8, and 12, respectively and the level of PA calculated as higher activity level than that required for general health maintenance a day</t>
    </r>
  </si>
  <si>
    <t>Fitmeter accelerometer (Fit.LifeTM, Suwon, Korea) and smartphone application</t>
  </si>
  <si>
    <t>kcal/d</t>
  </si>
  <si>
    <t>financial incentives (achievement of daily physical activity goals: 1 KRW per day and an additional 3 KRW for a full week [7 days] of meeting goals; weight target: 50 KRW for achievement of the weight loss targets of 3% and 5% of baseline body weight at weeks 4 and 8, respectively, and 100 KRW for the achievement of the final target of 7% at week 12)</t>
  </si>
  <si>
    <t xml:space="preserve">	Suboc 2014 </t>
  </si>
  <si>
    <t xml:space="preserve">Medical College of Wisconsin (Milwaukee, WI) </t>
  </si>
  <si>
    <t xml:space="preserve">sedentary older adults (≥50 and ≤80 y old), no uncontrolled hypertension (≥160/100), recent myocardial infarction (within 1 month of enrollment), angina, clinical evidence of heart failure or documented left ventricular ejection fraction of ≤45%, renal insufﬁciency, liver dysfunction, active malignancy, or cognitive impairment </t>
  </si>
  <si>
    <t xml:space="preserve">The pedometer, pedometer logs with 12 self-addressed, stamped envelopes in which to return a 7-day log each week to the study investigators; the goal to increase their PA by 10% each week above baseline levels in order to reach an average of 10 000 steps/day, </t>
  </si>
  <si>
    <t>(Omron HJ-720ITC; Omron), an accelerometer (ActiGraph GTX3; ActiGraph)</t>
  </si>
  <si>
    <t>the instruction to log at least every week onto an interactive website that employed key strategies to increase the adoption and retention of lifestyle-integrated habitual physical activity in older adults (frequent feedback, self-regulation of activity education and practice in realistic behavioral change strategies and goal, setting and rewarding):every week: comparison graphical representations of daily steps with intrinsically set goals every week: a series of congratulatory screens and a directive for setting the upcoming week’s step goal in case of compliance with set goals (defined as meeting walking step targets 5 out of 7 days) or a series of interactive screens designed to collect barriers identified and motivational messages in case of non-compliance with the goal. The encouragement to maintain the number of daily step in situation when participant reached 10000 steps / day through tailored messaging.</t>
  </si>
  <si>
    <t xml:space="preserve">	Vallance 2007 </t>
  </si>
  <si>
    <t>The Alberta Cancer Registry residing in Northern Alberta, Canada</t>
  </si>
  <si>
    <t>adults (34 to 86 y old), breast cancer survivors, with physician approval</t>
  </si>
  <si>
    <t xml:space="preserve">a personalized physical activity report containing baseline information on objectively measured daily PAL, recommendations, information on the EE of familiar activities (orally presented  at all participants); a standard recommendation to perform 30 minutes of moderate/vigorous PA on 5 days of the week and an encouragement to increase their PA minutes per day and/or days per week plus pedometer (with an instruction to wear the pedometer everyday for the 12-week duration of  the study and record the daily step totals at the end of each day) plus a 12-week step calendar  </t>
  </si>
  <si>
    <t xml:space="preserve">Digi-Walker SW-200 pedometer (New Lifestyles Inc, Lee’s Summit, MO) </t>
  </si>
  <si>
    <t>daily step counts</t>
  </si>
  <si>
    <t>copy of Exercise for Health: An Exercise Guide for Breast Cancer Survivors</t>
  </si>
  <si>
    <t xml:space="preserve">	Van Hoye 2018 </t>
  </si>
  <si>
    <t>local pharmacies and doctor practices</t>
  </si>
  <si>
    <t>Adults (19–67 y old), physical Activity Level lower than 1,71 METs</t>
  </si>
  <si>
    <t>(PG) - feedback on daily steps only, (DG) feedback on daily steps, on daily moderate-to-vigorous physical activity [MVPA] and on total energy expenditure [EE]), education in both groups on how much activity is needed to reach activity goals</t>
  </si>
  <si>
    <t>Yamax SW Digiwalker</t>
  </si>
  <si>
    <t>Daily physical activity level (PAL; Metabolic Equivalent of Task [MET]), number of daily steps, daily minutes of moderate to vigorous physical activity (MVPA), active daily EE (EE &gt; 3 METs)</t>
  </si>
  <si>
    <t>CoachG had one face-to-face meeting of 30 min with a personal coach each week</t>
  </si>
  <si>
    <t xml:space="preserve">	Vetrovsky 2018 </t>
  </si>
  <si>
    <t>Czechia</t>
  </si>
  <si>
    <t>four general practices</t>
  </si>
  <si>
    <t>physically inactive adults</t>
  </si>
  <si>
    <t>instructed to wear the pedometer and gradually increase the daily number of steps up to 10,000</t>
  </si>
  <si>
    <t>eVito 3D Step Counter SL (HMM Diagnostics GmbH, Dossenheim, Germany)</t>
  </si>
  <si>
    <t>regular email counseling (8 emails in total) using BCTs (self-monitoring, action planning, goal setting, and personalized feedback)</t>
  </si>
  <si>
    <t xml:space="preserve">	Wan 2017 </t>
  </si>
  <si>
    <t>pulmonary clinics</t>
  </si>
  <si>
    <t>U.S. Veterans with chronic obstructive pulmonary disease</t>
  </si>
  <si>
    <t>13 weeks</t>
  </si>
  <si>
    <t>a pedometer and written materials about exercise at study entry, participants were instructed to wear the pedometer daily while awake and to upload step counts at least monthly via the website (that had no content except a display of the study week)</t>
  </si>
  <si>
    <t>Omron HJ-720 ITC pedometer</t>
  </si>
  <si>
    <t xml:space="preserve">instructed to wear the pedometer daily during all waking hours, to upload step counts weekly; an acces to a website which provided the four key components of individualized goal-setting, iterative step-count feedback for self-monitoring, educational and motivational content to enhance disease self-management and self-efficacy, plus an online community forum for social support; step-count goals received every week based on their current recorded step count or previously set goal. </t>
  </si>
  <si>
    <t xml:space="preserve">	Wang 2015 </t>
  </si>
  <si>
    <t>University</t>
  </si>
  <si>
    <t>Adults (19 to 66 y old), overweight and obese</t>
  </si>
  <si>
    <t>6 weeks</t>
  </si>
  <si>
    <t>self-monitoring with Fitbit One only: wearing the Fitbit One tracker and upload data every day for the duration of the study; before randomization a brief 5-min intervention to review motivation, set goals (i.e., toward 10,000 steps/day), and plan for challenging situations; print materials from the U.S. Department of Health and Human Services</t>
  </si>
  <si>
    <t xml:space="preserve">the Fitbit One (wearable tracker plus aWeb site/mobile application (app)) </t>
  </si>
  <si>
    <t xml:space="preserve">daily step count and minutes of PA </t>
  </si>
  <si>
    <t>three daily SMS-based PA prompts every 2 weeks throughout the 6-week study period.</t>
  </si>
  <si>
    <t xml:space="preserve">	Watson 2012 </t>
  </si>
  <si>
    <t>health care facilities, hospital</t>
  </si>
  <si>
    <t>adults (20 - 55 y old) , overweight and obese</t>
  </si>
  <si>
    <t xml:space="preserve">an access to the pedometer manufacturer’s password-protected ActiHealth website to view graphs of their activity levels over time and set personal goals. </t>
  </si>
  <si>
    <t>ActiPed;FitLinxx, Norwalk, CT, USA</t>
  </si>
  <si>
    <t>step count</t>
  </si>
  <si>
    <t xml:space="preserve">access to the virtual coach, an automated, animated computer agent that ran on the home computers, set goals, and provided personalized feedback; participants were instructed to meet with the coach three times a week, approximately 5 to 10 minutes per session. Participants were provided with gift cards for attendance at each study visit. </t>
  </si>
  <si>
    <t xml:space="preserve">	Winett 2007 </t>
  </si>
  <si>
    <t>Church members in the south Atlantic region</t>
  </si>
  <si>
    <t>sedentary adults (pretest step counts &lt; 7,500 per day) with a median age of 53 years</t>
  </si>
  <si>
    <t>9 months</t>
  </si>
  <si>
    <t>The Guide to Health (GTH) Internet-delivered program focused on the nutrition and physical activity, 12 GTH modules - each module successively accessible on a weekly basis, Prior to the first module, baseline step counts were entered into the program, and participants completed an online assessment about their nutrition and their preferred reasons for using GTH (e.g., health, weight management) to individualize the content of GTH. Each module used 15 to 20 screens with streaming audio, took 5 to 10 min to complete, and included program interactions and a narrator ‘‘guide.’’ GTH used informational content and strategies to change physical activity by increasing step counts. It included reporting, feedback, goal setting, and strategy selection. goal; Steps count goals were set initially at 500 steps /day above the baseline mean for 5 days /week and progressed by 500 steps /day in subsequent weeks. Participants were encouraged to reach their step goal 5 days /week to an overall goal of 3,000 steps /day over baseline for 5 days / week (2,142 steps /day over baseline); Participants returned to the church or through the mail step count logs and unreset pedometers for verification of their weekly total step counts.</t>
  </si>
  <si>
    <t>Accusplit AE120,San Jose, CA</t>
  </si>
  <si>
    <t>daily step account</t>
  </si>
  <si>
    <t>a series of church-based supports based on behavioral strategies that amplified the content of GTH: prompts and reminders from the pulpit and in church, info about reaching the goal printed on posters displayed at the church and in the churches’ bulletins and newsletters, award badges to participants who routinely met step and nutrition goals, posted low-fat recipes etc</t>
  </si>
  <si>
    <t>male adults with or a trisk for CVD, US veterans, at least one of following conditions: diabetes, hypertension, obesity, CAD, hypercholesterolemia, perform less than 30 min of moderate intensity of PA ≥5 d*week</t>
  </si>
  <si>
    <t xml:space="preserve">	Budworth 2019</t>
  </si>
  <si>
    <t>(FIX) Participants in this group were assigned 0.60 CHF or Swiss franc (equivalent to 0.60 USD) every day they reached their daily goal; (LOT) Participants in this group were assigned a weekly lottery ticket every time they reached their goal of daily steps; (MESSAGES) every morning participants in this group received a motivational message pulled sequentially from a pre-arranged corpus</t>
  </si>
  <si>
    <t xml:space="preserve">	Cherubini 2020</t>
  </si>
  <si>
    <t>No of Arms</t>
  </si>
  <si>
    <t>health coaching educational materials and feedback delivered by the same registered dietitian and exercise physiologist (with goal setting) in accordance with group assignment delivered in-person or via video-conferencing (weekly)</t>
  </si>
  <si>
    <t xml:space="preserve">	Johnson 2019</t>
  </si>
  <si>
    <t xml:space="preserve">Hospital of the University of Pennsylvania </t>
  </si>
  <si>
    <t>Description of intervention component(s) above the active control condition</t>
  </si>
  <si>
    <t>Device used to measure physical activity</t>
  </si>
  <si>
    <t>Units of measurement</t>
  </si>
  <si>
    <t>pedometer, not specified</t>
  </si>
  <si>
    <t>steps/day</t>
  </si>
  <si>
    <t>steps/day change vs. baseline</t>
  </si>
  <si>
    <t xml:space="preserve"> 9159.97 (SD 2081.51) vs. 7540.97
(SD 1703.11) steps, p=0.001</t>
  </si>
  <si>
    <t>-788 vs. -2143 steps, p=0.004</t>
  </si>
  <si>
    <t>-3851 vs. -3817, p=0.88</t>
  </si>
  <si>
    <t>weekly step change vs. baseline</t>
  </si>
  <si>
    <t>3220 vs. 1402 steps, p=0.025</t>
  </si>
  <si>
    <t>3338 vs. 1273, p&lt;0.001</t>
  </si>
  <si>
    <t>Results at the end of the intervention</t>
  </si>
  <si>
    <t>Results at follow-up</t>
  </si>
  <si>
    <t>4335 (2498) vs. 4303 (2747), p=ns</t>
  </si>
  <si>
    <t>4365 (2957) vs. 4033 (2573), p</t>
  </si>
  <si>
    <t>Yamax/Yamasa PZ-271 pedometer</t>
  </si>
  <si>
    <t>FI 9690 (3769), MCC 9504 (4186), MCC+FI 11755 (2984), CG 9386 (2967), CWOG 8680 (3268)</t>
  </si>
  <si>
    <t xml:space="preserve">steps/day change vs. baseline </t>
  </si>
  <si>
    <t>ActiGraph GT3X+ (ActiGraph, Pensacola, FL) accelometer</t>
  </si>
  <si>
    <t>789 (1979) vs. 362 (1605), p=0.3</t>
  </si>
  <si>
    <t>FIX -208 vs. MESSEGES -642 vs. CON +10</t>
  </si>
  <si>
    <t xml:space="preserve">FIX -599  vs. MESSEGES -906 vs. CON -687 </t>
  </si>
  <si>
    <t xml:space="preserve">steps/day </t>
  </si>
  <si>
    <t>Fitbit Zip accelerometer</t>
  </si>
  <si>
    <t>M2 Smartband (Enwei Technology Co. Ltd., Shenzhen, China) pedometer</t>
  </si>
  <si>
    <t>difference between groups 1216 (350, 2082), p&lt;0.01</t>
  </si>
  <si>
    <t>10648_x0001_(3098) vs. 3589_x0001_(2000), p&lt;0.0001</t>
  </si>
  <si>
    <t>GT3X accelerometer</t>
  </si>
  <si>
    <t>step/day change vs. baseline</t>
  </si>
  <si>
    <t>2200 vs. 787, p&lt;0.01</t>
  </si>
  <si>
    <t>1652 vs. 612, p&lt;0.05</t>
  </si>
  <si>
    <t>steps per week</t>
  </si>
  <si>
    <t>5736 (4635-6837) vs. 5638 (4612-6663), p=0.08</t>
  </si>
  <si>
    <t>1505 (–1850 to 4861) vs. 4141 (462 to 8744), p=0.04</t>
  </si>
  <si>
    <t>Accusplit 120XL pedometer</t>
  </si>
  <si>
    <t>2,900.14  (1,903.83) vs. 636.39 (1653.26), p&lt;0.01</t>
  </si>
  <si>
    <t>ActiGraph GT3X+ (ActiGraph, LLC, Fort Walton Beach, FL, USA) and and activPAL3 (Physical Activity
Technologies, Glasgow, UK) accelerometers</t>
  </si>
  <si>
    <t>77.50 (2293.78) vs. –297.80 (2658.84), p=0.15</t>
  </si>
  <si>
    <t>StepWatch Activity Monitor (SAM) accelerometer</t>
  </si>
  <si>
    <t>ActiGraph triaxial GT-3x+ accelerometer (ActiGraph, Pensacola, FL, USA)</t>
  </si>
  <si>
    <t>Fitbit Zip accelometer</t>
  </si>
  <si>
    <t>[cash] 570 (210 to
930) vs. [charity] –300 (–660 to
70) vs. [Fitbit] –300 (–660 to
70), p=ns</t>
  </si>
  <si>
    <t>[cash] 30 (–370 to 430)  vs. [charity] –70 (–480 to
330) vs. [Fitbit] –30 (–420 to
370), p=ns</t>
  </si>
  <si>
    <t>1876 vs. 1150, p=ns</t>
  </si>
  <si>
    <t>Yamax Digiwalker SW-700 pedomter</t>
  </si>
  <si>
    <t>2219 vs. 832, p=0.04</t>
  </si>
  <si>
    <t>1382 vs. 666, p=0.55</t>
  </si>
  <si>
    <t>Omron HJ-720ITC (Omron Healthcare, Inc., Lake Forest, IL) pedometer</t>
  </si>
  <si>
    <t xml:space="preserve">steps/day change vs baseline </t>
  </si>
  <si>
    <t>N/A</t>
  </si>
  <si>
    <t>Yamax SW-200 (Yamax Corporation, Kumamoto City, Japan) pedometer</t>
  </si>
  <si>
    <t>2,015 (1,184, 2,846) steps (Online Group) vs 1,838 (1,014, 2,662)  steps (Resources Group)</t>
  </si>
  <si>
    <t xml:space="preserve"> 1,575 (753, 2,397) steps (Online Group)   vs. 1,586 (796, 2,376) steps (Resources Group)</t>
  </si>
  <si>
    <t>Omron HJ-720 ITC pedometer (Omron Healthcare, Inc)</t>
  </si>
  <si>
    <t>447 vs -346 steps p=0.005</t>
  </si>
  <si>
    <t>a three-axis accelerometer (HJA-350IT; Omron Healthcare, Kyoto, Japan)</t>
  </si>
  <si>
    <t>1,090 (590 to 1,590) steps (Intensive intervention) and 1,270 (682 to 1859) steps (moderate intervention) vs 1,235 (706 to 1,765) steps (control), no significant difference between groups</t>
  </si>
  <si>
    <t>the Moves smartphone application (ProtoGeo Oy Inc., Helsinki, Finland).</t>
  </si>
  <si>
    <t>steps/day; daily steps differences between groups</t>
  </si>
  <si>
    <t>5280 vs. 3929, adjusted difference: 1446, 95 % CI: 448–2444, p = 0.005 (the combined incentive vs control); 4516 vs. 3929, adjusted difference: 602, 95 % CI: -393–1596, p= 0.24 (the individual incentive vs control) ; 3930 vs. 3929, adjusted difference: 193, 95 % CI: -819–1205, p = 0.71 (the team incentive vs control)</t>
  </si>
  <si>
    <t>adjusted differences: 1077, 95 % CI: 7-2146, p = 0.049 (the combined incentive vs control); 405 95% CI: -668 - 1479, p= 0.46 (the individual incentive vs control); 10 95 % CI: -1063-1084, p= 0.98 (the team incentive vs control)</t>
  </si>
  <si>
    <t>a smartphone application(Moves; ProtoGeo Oy or Fitbit; Fitbit, Inc) wrist-worn wearable device (Fitbit Flex; Fitbit, Inc)</t>
  </si>
  <si>
    <t>1661 steps vs 636 steps ; adjusted for baseline difference: 953; 95%CI, 505-1401; P &lt; .001, adjuested for baseline and device difference: 1004; 95% CI, 545-1463 p&lt;.001</t>
  </si>
  <si>
    <t>1385 vs 798; adjusted for baseline difference, 494; 95% CI, 170-818; P &lt; .01; adjusted for baseline and device difference, 523,  95% CI 184-862, p=.003</t>
  </si>
  <si>
    <t>tri-axial accelerometry (ActiGraph GT3X+,ActiGraph, Pensacola, Florida, USA)</t>
  </si>
  <si>
    <t>8162 (7464, 8859) steps vs. 7844 (6921, 8766) steps</t>
  </si>
  <si>
    <t xml:space="preserve">Omron HJ-112 pedometer (Kyoto, Japan) </t>
  </si>
  <si>
    <t>7,503 (+- 1,073) steps vs. 5,004 (+- 1,360) steps</t>
  </si>
  <si>
    <t>steps/3-day</t>
  </si>
  <si>
    <t>6906 (SD 3748) steps (the goal-setting) and 6854 (SD 3949) steps (the reminders group) vs. 7123 (SD 4287) steps (the Fitbit-only group)</t>
  </si>
  <si>
    <t>Yamax CW-300 pedometers</t>
  </si>
  <si>
    <t>6420 (SD 2587) steps  vs. 6169 (SD 2534) steps p=0.15 (non-adjusted steps); 7005 (SD 2783) steps vs. 6683 (SD 3412) steps, p=0.04 (adjusted for non-wear )</t>
  </si>
  <si>
    <t>8,175 (SD 3,513) steps vs. 6,167 (SD 1,791) steps, p=0.002 (baseline is 5892 vs. 6088)</t>
  </si>
  <si>
    <t>7,932 (SD 2,894) steps vs. 6,903 (SD 1,941) steps  (follow-up after 20 weeks)</t>
  </si>
  <si>
    <t>1974 (SD 2464) steps vs. 1579 (SD 2137) steps, p= .20</t>
  </si>
  <si>
    <t>Actical® accelerometers (Mini Mitter Co.)</t>
  </si>
  <si>
    <t>Fitbit Zip wireless activity tracker</t>
  </si>
  <si>
    <t>1934,29 steps vs. -228,31 steps</t>
  </si>
  <si>
    <t>1401 vs 2461 steps no significant
difference between groups</t>
  </si>
  <si>
    <t>21,493 (884) steps vs 20,821 (925)</t>
  </si>
  <si>
    <t>Omron HJ-720-ITC
pedometer that contains a dual-axial accelerometer, an
embedded USB port</t>
  </si>
  <si>
    <t>The Omron Active Style Pro HJA-350IT triaxial accelerometer</t>
  </si>
  <si>
    <t xml:space="preserve">Daily steps changes; intervention vs. control </t>
  </si>
  <si>
    <t>After 3 months in compare to controls: Steps: + 2060 (p&lt;0.001)</t>
  </si>
  <si>
    <t>After 9 months: Steps: + 1360 (p&lt;0.001)</t>
  </si>
  <si>
    <t>An Actigraph GT3X+ accelerometer</t>
  </si>
  <si>
    <t>MPVA (min/week) change vs. Baseline</t>
  </si>
  <si>
    <t>Intervention group: +26.2 (SD 155.6); Control group: -57.5 (SD 127.0), p=0.03.</t>
  </si>
  <si>
    <t>The Fitbit Zip activity monitor</t>
  </si>
  <si>
    <t>steps/day; intervention vs. control group</t>
  </si>
  <si>
    <t>steps per day: +2092, intervention vs. control (p-value and SD not published?)</t>
  </si>
  <si>
    <t>FitBit Flex</t>
  </si>
  <si>
    <t>steps/day, differences between groups</t>
  </si>
  <si>
    <t>Weekday: 9470 (SD 7243) vs. 8428 (SD 3876), Weekend: 7586 (SD 6078) vs. 7591 (SD 5070); p-value not published.</t>
  </si>
  <si>
    <t>Weekday: 7585 (SD 3329) vs. 6051 (SD 2423), Weekend: 6163 (SD 5902) vs. 5696 (SD 6878); p-value not published.</t>
  </si>
  <si>
    <t>No feedback (control): 2822; Personal feedback: 3842; Social feedback: 3984; p-value not published.</t>
  </si>
  <si>
    <t>GT3X+, Actigraph LLC, accelerometer</t>
  </si>
  <si>
    <t>Daily steps (and MVPA) differences betweeng interventions group and control</t>
  </si>
  <si>
    <t>Daily steps: Postal vs. Control: +692, p&lt;0.001; Nurse vs. Control : +1172, p&lt;0.001. MVPA (min./week): Postal vs. Control: +43, p&lt;0.001; Nurse vs. Control: +61, p&lt;0.001.</t>
  </si>
  <si>
    <t>Daily steps: Postal vs. Control: +642, p&lt;0.001; Nurse vs. Control : +677, p&lt;0.001. MVPA (min./week): Postal vs. Control: +33, p&lt;0.001; Nurse vs. Control: +35, p&lt;0.001.</t>
  </si>
  <si>
    <t>Yamax Digiwalker, SW-701; Yamax, Tokyo, Japan</t>
  </si>
  <si>
    <t>Daily steps differences betweeng interventions group and control</t>
  </si>
  <si>
    <t>Intervention group (AS) vs. Control group (SS) (10,136 vs. 6,118; p=0.024).</t>
  </si>
  <si>
    <t>New Lifestyles Digi-Walker SW-200 pedometer (New Lifestyles, Inc., Lee’s Summit, MO)</t>
  </si>
  <si>
    <t>steps/day, end of intervention vs. baseline</t>
  </si>
  <si>
    <t>Group 1 (Walking): 6,845 +/- 2,279 vs. 5,453 +/- 2,119; p&lt;0,05; Group 2 (Walking + resistance training): 6,859 +/- 2,012 vs. 4,823 +/- 1,758; p&lt;0,05.</t>
  </si>
  <si>
    <t>Withings Activite Steel step-tracking acceler_x0002_ometer watch (Withings, Inc., Cambridge, MA).</t>
  </si>
  <si>
    <t xml:space="preserve">Control group: 5,002 +/- 2,640 vs. 4,324 +/- 2,001; "In-person" group: 6,236 +/- 2,393 vs. 3,641 +/- 1,167 (p&gt;0.05 in compare to CG); "Videoconferencing" group: 7,054 +/- 2,069 +/- 3,755 vs. 1,610 (p&lt;0.05 in compare to CG). </t>
  </si>
  <si>
    <t>The Jawbone Up pedometer (intervention and control group), The Fitbit Zip (onlu intervention groups)</t>
  </si>
  <si>
    <t>Education (control group): 4,609 +/- 3,608 +/- vs. 5,572 +/- 3,768; Pederometer: 5,655 +/- 3,154 vs. 4,223 vs. 2,925; Pederometer + targets: 6,675 +/- 3,706 vs. 5,019 vs. 2,999). Comparsion interventiong group with control (end of the intervention), p&lt;0.01 for both intervention group.</t>
  </si>
  <si>
    <t>Fitbit pedometer</t>
  </si>
  <si>
    <t>Change in mean daily steps during intervention / follow-up (in comparison to control group)</t>
  </si>
  <si>
    <t>Peer Network group (+833; p=0.51), Financial Incentive group (+1,361; p= 0.84), Combined group (+1,178; p=0.03), Comparison group (+1,247); p-value is calculated regards to Comparison group.</t>
  </si>
  <si>
    <t>Peer Network group (+279; p=0.18), Financial Incentive group (+559; p= 0.42), Combined group (+309; p=0.27), Comparison group (+1,151); p-value is calculated regards to Comparison group.</t>
  </si>
  <si>
    <t>the WeRun function in WeChat</t>
  </si>
  <si>
    <t>Change in mean weekly steps (vs. Baseline).</t>
  </si>
  <si>
    <t>Treatment group: 5,872 +/- 3,494 vs. 4,125 +/- 2,693; Control group: 4,171 +/- 3,122 vs. 3,992 +/- 2,388; p&lt;0.05</t>
  </si>
  <si>
    <t>Treatment group: 5,911 +/- 3,467 vs. 4,125 +/- 2,693; Control group: 4,330 +/- 3,185 vs. 3,992 +/- 2,388; p&lt;0.05.</t>
  </si>
  <si>
    <t>the Fitbug Orb (Chicago, IL)</t>
  </si>
  <si>
    <t>Unblind: +408 +/- 2,701 vs. Blind (Control) -616 +/- 2,385; p=0.21</t>
  </si>
  <si>
    <t>Unblind+texts: +2,334 +/- 1,714; Unblind+No Texts: -200 +/- 1,653; Blind (contol): -1,042 +/- 2,202. (Text-control: p&lt;0.001; No-text-control: p=0.23; Text-No text: p&lt;0.001)</t>
  </si>
  <si>
    <t>FITBIT® Zip pedometer</t>
  </si>
  <si>
    <t>Intervention group -&gt; baseline: 3,888; 4-week: 4,318; 8-week: 4,164; Control group -&gt; baseline: 5,365; 4-week: 4,906; 8-week: 4,759. Changes differences, intervention vs. Control -&gt; 4-week: p&lt;0.05; 8-week: p&lt;0.05.</t>
  </si>
  <si>
    <t>Moves application (ProtoGeoOy Inc., Helsinki, Finland)</t>
  </si>
  <si>
    <t xml:space="preserve">Total steps during intervention </t>
  </si>
  <si>
    <t>Intervention group: 57,800 +/- 48,416; Control group: 47,314 +/- 29,280 (p-value not calculated)</t>
  </si>
  <si>
    <t>Omron model HJ-112 (Kyoto, Japa) pedometer</t>
  </si>
  <si>
    <t>Steps/day change vs. baseline</t>
  </si>
  <si>
    <t>10.286 (SD 3022) vs 4688(SD 1485) steps; increase 119,0% in steps count ( p&lt; 0.001)</t>
  </si>
  <si>
    <t>any precise information</t>
  </si>
  <si>
    <t>steps/day change vs. Baseline</t>
  </si>
  <si>
    <t xml:space="preserve">8532(SD 3907) vs 7691( SD2978) , p=0,19 </t>
  </si>
  <si>
    <t>Fitmeter accelerometer (Fit.Life, Suwon,Korea ) and smartphone aplication</t>
  </si>
  <si>
    <t>level of physical activity; achievement of physical activity goals</t>
  </si>
  <si>
    <t>level of physical activity in intervention group without incentives not significantly different as compared with controls</t>
  </si>
  <si>
    <t>Pedometer OMRON HJ-72)ITC, Accelerometer ActiGraphGTX3</t>
  </si>
  <si>
    <t>average steps count/day; average minutes of physical activity ( light, moderater, vigorous)</t>
  </si>
  <si>
    <t>9596 (SD 3907) vs 5136 (SD 1554) steps , p&lt;0.001 as compared with controls</t>
  </si>
  <si>
    <t>DigiWalker SW Pedometer</t>
  </si>
  <si>
    <t>8420 (SD5226) vs 8476 (SD 3248) any siginicant change vs baseline and vs control gropu in number of steps, but significant increase in self-reported MVPA and self reported brisk walking in intervention group/s</t>
  </si>
  <si>
    <t>Yamax SW200 pedometer</t>
  </si>
  <si>
    <t>steps/day change vs. Baseline ; Daily physical activity level ( minutes of MVPA, total daily EE)</t>
  </si>
  <si>
    <t>number of daily steps increased by 13,1 % from 8840 ( SD 101) at base line in PG intervention Group ; daily MVPA increased in min by 21,1 % from 101 (SD 45 min)</t>
  </si>
  <si>
    <t>significant changes still evident after 1 yr.</t>
  </si>
  <si>
    <t>eVito 3D Step Counter SL pedometer</t>
  </si>
  <si>
    <t>steps/day change vs baseline</t>
  </si>
  <si>
    <t>6719 (SD 2859) vs 5043 (SD 1377) p&lt; 0,0004</t>
  </si>
  <si>
    <t>steps/day chnge vs baseline</t>
  </si>
  <si>
    <t>number of steps in intervention group remained significant higher by 864 steps in pedometer-website group at week 13 ( 3769 ,SD 2386 at baseline)</t>
  </si>
  <si>
    <t>FitBit One accelerometer ; Actigraph GT3X accelerometer</t>
  </si>
  <si>
    <t>steps/day, MVPA, total PA</t>
  </si>
  <si>
    <t>6909 (SD 415() vs 6885 (SD 638) NS change p=0,20</t>
  </si>
  <si>
    <t>Pedometer ActiPed, FitLinx, Norwalk,CT,USA)</t>
  </si>
  <si>
    <t xml:space="preserve">steps/day change vs baseline , steps count vs controls </t>
  </si>
  <si>
    <t xml:space="preserve">7024 vs 6943 steps/day p=0,85 </t>
  </si>
  <si>
    <t>Pedometer Accusplit AE120, San Jose, CA</t>
  </si>
  <si>
    <t>significant increase in daily number of steps ( ca 1500 steps/day ) in intervention group (GTH Plus vs controls , p = 0,05 ; about 7000 steps/day at baseline in all compared groups</t>
  </si>
  <si>
    <t>still increased number of steps at follow-up ( 16 months after pre-test ) about 1000 steps/day , p = 0,01</t>
  </si>
  <si>
    <t>Barclay 2018</t>
  </si>
  <si>
    <t>Kitagawa 2020</t>
  </si>
  <si>
    <t>Patel 2018</t>
  </si>
  <si>
    <t>Patel 2016b</t>
  </si>
  <si>
    <t>Agarwal 2021</t>
  </si>
  <si>
    <t>Anand 2021</t>
  </si>
  <si>
    <t>Chow 2021</t>
  </si>
  <si>
    <t>Compton 2021</t>
  </si>
  <si>
    <t>Ellingson 2022</t>
  </si>
  <si>
    <t>Francis 2021</t>
  </si>
  <si>
    <t>Keadle 2021</t>
  </si>
  <si>
    <t>Khunti 2021</t>
  </si>
  <si>
    <t>Larsen 2021</t>
  </si>
  <si>
    <t>Mamede2021</t>
  </si>
  <si>
    <t>Oppezzo 2021</t>
  </si>
  <si>
    <t>Pinto 2021a</t>
  </si>
  <si>
    <t>Rossen 2021</t>
  </si>
  <si>
    <t>Hajna 2021</t>
  </si>
  <si>
    <t>Guagliano 2020</t>
  </si>
  <si>
    <t>Pinto 2021b</t>
  </si>
  <si>
    <t>1 day workshop tivity stations aimed to build knowledge and skills
to safely walk outdoors</t>
  </si>
  <si>
    <t>Pedometer, not specified</t>
  </si>
  <si>
    <t xml:space="preserve"> ActiGraph GT3X+ accelerometer and a global positioning system (GPS)
monitor (Qstarz BT-Q1000XT A-GPS Travel Recorder</t>
  </si>
  <si>
    <t>descriptive individual data</t>
  </si>
  <si>
    <t>9-week group-based outdoor walking program consisted of repetitive practice of mobility tasks at local park</t>
  </si>
  <si>
    <t>2 weeks</t>
  </si>
  <si>
    <t>pamphlet, describing the risks of prolonged sitting, feedback on sitting time by a smartphone application</t>
  </si>
  <si>
    <t>UP24 by Jawbone, San Francisco, CA, USA accelerometer</t>
  </si>
  <si>
    <t>decrease of 38 vs. 660 step/day, p=0.13</t>
  </si>
  <si>
    <t>26 weeks</t>
  </si>
  <si>
    <t>a goal of 7000 steps per day, daily feedback on performance</t>
  </si>
  <si>
    <t>Moves
smartphone application (ProtoGeo Oy)</t>
  </si>
  <si>
    <t>Moves application (ProtoGeoOy)</t>
  </si>
  <si>
    <t>steps/day change vs baseline between study groups</t>
  </si>
  <si>
    <t>784 (_x0003_673 to 1681), p=0.09</t>
  </si>
  <si>
    <t>a goal of 7000 steps per day, weekly feedback on performance, each team was told how their weekly average step count compared to the 50th percentile in this arm</t>
  </si>
  <si>
    <t>20 weeks</t>
  </si>
  <si>
    <t xml:space="preserve">a wearable device to track step counts and selected a step goal, feedback from their devices </t>
  </si>
  <si>
    <t>game with points and levels designed using behavioral economic principles and selected a support partner to receive weekly updates, $120 allocated to a virtual account and lost $10 if weekly goals were not achieved.</t>
  </si>
  <si>
    <t>8 weeks</t>
  </si>
  <si>
    <t>Garmin Vivofit 3 activity tracker</t>
  </si>
  <si>
    <t>−217.6 [610.4] vs −730.9 [568.1] steps per day, p 0.25</t>
  </si>
  <si>
    <t>−1,217.1 [624.4]
vs −946.1 [576.9] steps per day; p=0.84</t>
  </si>
  <si>
    <t>twice-weekly 1 hour small-group directed exercise sessions customized to persons with kidney disease</t>
  </si>
  <si>
    <t>access to activity trackers</t>
  </si>
  <si>
    <t>711 (− 251, 1673) vs. 260 (− 779, 1299), p=0.53</t>
  </si>
  <si>
    <t>individualized goal-setting (daily steps, sodium, saturated fat, added sugar intake) per feedback from mHealth trackers (Fitbit for activity; Healthwatch360 for diet), supplemented by a Facebook peer support group.</t>
  </si>
  <si>
    <t>activity trackers and daily text message reminders to increase physical activity</t>
  </si>
  <si>
    <t>Fitbit activity tracker</t>
  </si>
  <si>
    <t>weekly regret lottery,  those in the intervention arm, participants who met their activity goal, had a chance to win a small ($30) or large ($100) gift card incentive; those who did not meet their goals were informed of what they would have won had they met their goal.</t>
  </si>
  <si>
    <t>wearable activity monitor</t>
  </si>
  <si>
    <t>Fitbit Charge accelometer</t>
  </si>
  <si>
    <t>ActiGraph GT3X+ (ActiGraph, LLC, Fort Walton Beach, FL, USA) and activPAL3 (Physical Activity
Technologies, Glasgow, UK) accelerometers</t>
  </si>
  <si>
    <t>average number of steps accros the interevention</t>
  </si>
  <si>
    <t>activity tracker alone</t>
  </si>
  <si>
    <t>1697 (95% credible interval: 996
– 2403)</t>
  </si>
  <si>
    <t>6 months of weekly virtual races, each week, participants were placed in a race with 9 others who achieved a similar number of steps in the previous week’s race. Participants moved along the virtual route by the steps recorded on their Fitbit and received daily walking challenges via text message. Text messages also had links to the race map and leaderboard.</t>
  </si>
  <si>
    <t>ActivPAL accelerometer</t>
  </si>
  <si>
    <t>1688 vs 516 steps/day, a difference of 1173 (95% CI 541–1804) steps/day, p &lt; 0.001)</t>
  </si>
  <si>
    <t>charity donation if step goal achieved</t>
  </si>
  <si>
    <t>48 months</t>
  </si>
  <si>
    <t>(−317 [2969] vs. -312.5 [2499]), p=ns</t>
  </si>
  <si>
    <t>mHealth intervention delivering tailored text messages supported by telephone calls</t>
  </si>
  <si>
    <t>physical activity monitor for everyday use in the intervention period and a pamphlet with the national recommendations on PA in aging populations</t>
  </si>
  <si>
    <t>Garmin Vivofit 3 tri-axial accelerometer</t>
  </si>
  <si>
    <t>average daily step count</t>
  </si>
  <si>
    <t>14 weeks</t>
  </si>
  <si>
    <t>basic digital app with self-monitoring and goal setting</t>
  </si>
  <si>
    <t>Fitbit Flex accelerometer</t>
  </si>
  <si>
    <t>average daily step count difference between groups</t>
  </si>
  <si>
    <t>5-week gamification phase encompassing a gamified digital app with social support features and a 5-week physical nudges phase</t>
  </si>
  <si>
    <t>35 weeks</t>
  </si>
  <si>
    <t xml:space="preserve">Fitbit only, 13 weeks of tailored weekly step goals </t>
  </si>
  <si>
    <t>Fitbit Inspire accelerometer</t>
  </si>
  <si>
    <t>820 vs. -571, p=0.028</t>
  </si>
  <si>
    <t>589 vs. -111, p=0.081</t>
  </si>
  <si>
    <t>a private Twitter support group, with daily automated behavior change “tweets” informed by behavior change theory, and encouragement to communicate within the group.</t>
  </si>
  <si>
    <t>Fitbit Charge 2 accelerometer</t>
  </si>
  <si>
    <t>Actigraph accelerometer (GT3x)</t>
  </si>
  <si>
    <t>1488 vs. -1209, p=0.018</t>
  </si>
  <si>
    <t>24 wekks</t>
  </si>
  <si>
    <t>self-monitoring of steps</t>
  </si>
  <si>
    <t>Yamax Digiwalker SW 200</t>
  </si>
  <si>
    <t>ActiGraph GT1M accelerometer</t>
  </si>
  <si>
    <t>191 steps, p=ns</t>
  </si>
  <si>
    <t>12 group consultations led by project staff (the urban centres) and a diabetes specialist nurse (rural center) (10 during the first year) and nine individual face-to-face consultations (seven during the first year) by their diabetes specialist nurse.</t>
  </si>
  <si>
    <t>activity tracker</t>
  </si>
  <si>
    <t>accelerometer Imperative Health</t>
  </si>
  <si>
    <t>not reported</t>
  </si>
  <si>
    <t>virtual coaching, a user-driven online platform and provided the Activity Band PLUS group a more interactive experience than that provided to the Diary and Activity Band groups. It used the activity data from the activity trackers and the weight data from the Bluetooth-enabled scales to provide numerical and graphical feedback to participants regarding their progress.</t>
  </si>
  <si>
    <t>58 weeks</t>
  </si>
  <si>
    <t>pedometer only</t>
  </si>
  <si>
    <t xml:space="preserve">pedometer type not specified </t>
  </si>
  <si>
    <t>MVPA</t>
  </si>
  <si>
    <t>change in MVPA between groups</t>
  </si>
  <si>
    <t>1.2 (−11.7,14.2)</t>
  </si>
  <si>
    <t>self-monitored PA and feedback reports</t>
  </si>
  <si>
    <t>Digiwalker</t>
  </si>
  <si>
    <t>Actigraph accelerometer</t>
  </si>
  <si>
    <t>ns</t>
  </si>
  <si>
    <t>a monthly phone call (Reach Plus Phone) or weekly text message (Reach Plus Message)</t>
  </si>
  <si>
    <t xml:space="preserve">local newspaper, seniors’ centers, an organization supporting those recovering from stroke, and posters in seniors’ apartments. </t>
  </si>
  <si>
    <t xml:space="preserve">public relations magazine </t>
  </si>
  <si>
    <t>University employees</t>
  </si>
  <si>
    <t xml:space="preserve">employees or family members of employees from the University of Pennsylvania </t>
  </si>
  <si>
    <t>Corporal Michael J. Crescenz VA Medical Center</t>
  </si>
  <si>
    <t xml:space="preserve">2 high-volume nephrology clinics </t>
  </si>
  <si>
    <t>Fred Hutchinson Cancer Research Center</t>
  </si>
  <si>
    <t xml:space="preserve">campus community using electronic mailing lists </t>
  </si>
  <si>
    <t xml:space="preserve">Internal Medicine clinic </t>
  </si>
  <si>
    <t xml:space="preserve">recruited via fliers distributed on social media and emailed to cancer support groups </t>
  </si>
  <si>
    <t>through family practice, sup- plemented by recruitment from research databases</t>
  </si>
  <si>
    <t>Denmark</t>
  </si>
  <si>
    <t>community-dwelling older adults</t>
  </si>
  <si>
    <t>Netherlands</t>
  </si>
  <si>
    <t>recruited via email and social media and through their department team leaders</t>
  </si>
  <si>
    <t xml:space="preserve">Women's Heart Health Clinic or Cardiovascular Clinics at Stanford </t>
  </si>
  <si>
    <t xml:space="preserve">Prisma Health Upstate (Greenville, SC) </t>
  </si>
  <si>
    <t>primary care settings</t>
  </si>
  <si>
    <t xml:space="preserve">staff and students on the Cambridge Biomedical Campus </t>
  </si>
  <si>
    <t xml:space="preserve">Used electronic media (e.g., social media, television news) </t>
  </si>
  <si>
    <t>recruited via informational mailings, tumor registries, community events, hospitals/ clinics</t>
  </si>
  <si>
    <t>adults aged ≥ 65 years</t>
  </si>
  <si>
    <t>healthy women, aged ≥20 and &lt;50 years, housewife</t>
  </si>
  <si>
    <t>obese adults (aged 18 years or older, had a body mass index (BMI) of 27 or greater)</t>
  </si>
  <si>
    <t>healthy adults (18 years of age or older)</t>
  </si>
  <si>
    <t>US veterans classified as having overweight and obesity, (18 years of age or older)</t>
  </si>
  <si>
    <t>adults with advanced chronic kidney disease</t>
  </si>
  <si>
    <t>Adults age 18 to 55 years, receipt of HCT or any history of acute leukemia or lymphoma</t>
  </si>
  <si>
    <t xml:space="preserve">US adults veterans with chronic pain </t>
  </si>
  <si>
    <t>adults (24–65 yr of age with low back pain</t>
  </si>
  <si>
    <t>Obese adults with elevated risk for T2D (either BMI ≥30 kg/ m2 or a BMI ≥25 kg/m2 plus a hemoglobin A1C value between 5.7 and 6.4%).</t>
  </si>
  <si>
    <t>young adults cancer survivor, ≥ 18–&lt; 50 years</t>
  </si>
  <si>
    <t>multi-ethnic adults at high risk of diabetes</t>
  </si>
  <si>
    <t>healthy older adults (very old above 75)</t>
  </si>
  <si>
    <t>Healthy adults</t>
  </si>
  <si>
    <t xml:space="preserve">sedentary women from a heart clinic </t>
  </si>
  <si>
    <t>Older cancer survivors ( ≥65years)</t>
  </si>
  <si>
    <t>older adults, in prediabetes and type 2 diabetes</t>
  </si>
  <si>
    <t xml:space="preserve">Healthy inactive adults, aged &lt;18 or &gt;65 years </t>
  </si>
  <si>
    <t>Women aged 21 years of age and older (diagnosed with Stages 0–3 breast cancer within the past 5 years)</t>
  </si>
  <si>
    <t>Total at baseline</t>
  </si>
  <si>
    <t>Withings_x0002_ Activite Pop (Cambridge, MA, USA) accelerometer</t>
  </si>
  <si>
    <t>30163.8_x0002_(SD 30 117.6) steps vs. -5972.0 (SD 22 286 steps, p&lt;0.05</t>
  </si>
  <si>
    <t>Omron HJ-720ITC (Omron Healthcare, Inc., Bannockburn, IL, USA) pedometer</t>
  </si>
  <si>
    <t>iPhone with an app and internal accelerometer</t>
  </si>
  <si>
    <t>ZenWatch 3 (ASUS TeK Computer Inc., Taipei, Taiwan) smartwatch</t>
  </si>
  <si>
    <t>12288 (721) vs. 11340.46 (743), p&lt;0.05</t>
  </si>
  <si>
    <t>Fitbit Ultra accelerometer</t>
  </si>
  <si>
    <t>1096.2 (1898.1) vs. 258.7 (1603.7), p=0.13</t>
  </si>
  <si>
    <t>914 (421) vs. 693 (421), p=0.71</t>
  </si>
  <si>
    <t>Misfit Shine pedometer</t>
  </si>
  <si>
    <t>difference between groups 1063 (128, 1997), p=0.03</t>
  </si>
  <si>
    <t>Omron HJ-113 pedometer</t>
  </si>
  <si>
    <t>6787 vs. 5325, p&lt;0.05</t>
  </si>
  <si>
    <t>Accusplit AE120XL (an imported version of SW-200 Yamax Digi-Walker) pedometer</t>
  </si>
  <si>
    <t>Yamax Digiwalker SW-200 pedomter</t>
  </si>
  <si>
    <t>7429 (2833) vs. 6483 (2359), p=ns</t>
  </si>
  <si>
    <t>102.6 steps (95% CI = −888 to 1093) vs. 159 steps (95% CI = −878 to 1195), p=0.94</t>
  </si>
  <si>
    <t>Omron HJ-109E Step-O-Meter pedometer</t>
  </si>
  <si>
    <t>individual suggestions regarding lifestyle to shorten sitting time.</t>
  </si>
  <si>
    <t>237 (_x0003_629 to 1104), p=0.59</t>
  </si>
  <si>
    <t>"combined lottery" incentive arm, each participant had both an 18% chance (approximately 1 in 5 chance) of winning $5 and a 1% chance of winning $50, designed similar to prior work each day. Their were eligible to collect their winnings only if they had achieved at least 7000 steps on the prior day. Participants who won the lottery but did not achieve their goal were informed what they would have won had they been adherent.</t>
  </si>
  <si>
    <t>683 (3211 to 1577), p=0.13</t>
  </si>
  <si>
    <t>531 (3296 to 1358), p=0.21</t>
  </si>
  <si>
    <t xml:space="preserve"> incentive arm, each participant had both an 18% chance (approximately 1 in 5 chance) of winning $5 and a 1% chance of winning $350, designed similar to prior work each day. Their were eligible to collect their winnings only if they had achieved at least 7000 steps on the prior day. Participants who won the lottery but did not achieve their goal were informed what they would have won had they been adherent.</t>
  </si>
  <si>
    <t>Fitbit Alta or Inspire accelerometer</t>
  </si>
  <si>
    <t>1224 steps; 95%CI, 451 to 1996 steps; p=0 .005</t>
  </si>
  <si>
    <t>564 steps; 95%CI, −261 to 1389 steps; p=0.37</t>
  </si>
  <si>
    <t>wearable activity trackers and fitness professional counseling</t>
  </si>
  <si>
    <t>Fitbit Flex wearable wristb and and mHealth app</t>
  </si>
  <si>
    <t>ActiGraph GT3X, ActiGraph LLC, Pensacola, Florida) accelerometer</t>
  </si>
  <si>
    <t>439 vs. -1594, p=0.49</t>
  </si>
  <si>
    <t>9990 ± 4500 vs. 9212 ± 3137; p=0.2</t>
  </si>
  <si>
    <t>one primary session of health coaching and two check-ins based on motivational interviewing</t>
  </si>
  <si>
    <t>Fitbit, step goal, electronic weekly newsletter</t>
  </si>
  <si>
    <t>a structured group education session followed by annual group-based support;</t>
  </si>
  <si>
    <t xml:space="preserve"> Actigraph GT3X+ accelerometer</t>
  </si>
  <si>
    <t>6492 (5472; 7513) vs. 5837 (4932; 6742), p=0.07</t>
  </si>
  <si>
    <t>motivational interviewing - seven telephone calls from trained and certified counsellors in intervention week 1, 2, 3, 5, 7, 9 and 12</t>
  </si>
  <si>
    <t>−222.3 (416.4), p=0.59</t>
  </si>
  <si>
    <t>−1520.2 (441.2), p&lt;.001</t>
  </si>
  <si>
    <t>tailored step goal program over the intervention; weekly step increases were based on a percent increase from baseline.</t>
  </si>
  <si>
    <t>audiobook group were encouraged to listen to audiobooks (downloaded onto a smartphone device via an app available at no cost from the local library) during physical activity</t>
  </si>
  <si>
    <t>Acti-Graph GT3X+ tri-axial accelerometer and GPS</t>
  </si>
  <si>
    <t>access to the FRESH website, allowing participants to select step challenges to ‘travel’ to target cities around the world, log their steps, and track progress as families virtually globetrot</t>
  </si>
  <si>
    <t>Reach Plus Message out-performed Reach Plus (b = 31.50, SE = 6.89, f2 = .18, p = .03) and a borderline effect favoring Reach Plus Phone over Reach Plus (b = 15.10, SE = 4.55, f2 = .09, p =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</si>
</sst>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2"/>
      <color theme="1"/>
      <name val="Calibri"/>
      <family val="2"/>
      <charset val="238"/>
      <scheme val="minor"/>
    </font>
    <font>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sz val="12"/>
      <color rgb="FF231F20"/>
      <name val="Calibri"/>
      <family val="2"/>
      <scheme val="minor"/>
    </font>
    <font>
      <sz val="12"/>
      <color rgb="FF131413"/>
      <name val="Calibri"/>
      <family val="2"/>
      <scheme val="minor"/>
    </font>
    <font>
      <u/>
      <sz val="12"/>
      <color theme="10"/>
      <name val="Calibri"/>
      <family val="2"/>
      <charset val="238"/>
      <scheme val="minor"/>
    </font>
    <font>
      <u/>
      <sz val="12"/>
      <color theme="11"/>
      <name val="Calibri"/>
      <family val="2"/>
      <charset val="238"/>
      <scheme val="minor"/>
    </font>
    <font>
      <sz val="8"/>
      <name val="Calibri"/>
      <family val="2"/>
      <charset val="238"/>
      <scheme val="minor"/>
    </font>
    <font>
      <sz val="12"/>
      <color rgb="FF111111"/>
      <name val="Calibri"/>
      <family val="2"/>
      <scheme val="minor"/>
    </font>
    <font>
      <sz val="12"/>
      <color rgb="FF211E1E"/>
      <name val="Calibri"/>
      <family val="2"/>
      <scheme val="minor"/>
    </font>
  </fonts>
  <fills count="2">
    <fill>
      <patternFill patternType="none"/>
    </fill>
    <fill>
      <patternFill patternType="gray125"/>
    </fill>
  </fills>
  <borders count="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3">
    <xf numFmtId="0" fontId="0" fillId="0" borderId="0" xfId="0"/>
    <xf numFmtId="0" fontId="3" fillId="0" borderId="0" xfId="0" applyFont="1" applyBorder="1" applyAlignment="1">
      <alignment vertical="top" wrapText="1"/>
    </xf>
    <xf numFmtId="0" fontId="3" fillId="0" borderId="1" xfId="1" applyFont="1" applyBorder="1" applyAlignment="1">
      <alignment vertical="top" wrapText="1"/>
    </xf>
    <xf numFmtId="0" fontId="3" fillId="0" borderId="0" xfId="0" applyFont="1" applyFill="1" applyBorder="1" applyAlignment="1">
      <alignment vertical="top" wrapText="1"/>
    </xf>
    <xf numFmtId="0" fontId="5" fillId="0" borderId="0" xfId="0" applyFont="1" applyBorder="1" applyAlignment="1">
      <alignment vertical="top" wrapText="1"/>
    </xf>
    <xf numFmtId="0" fontId="4" fillId="0" borderId="0" xfId="0" applyFont="1" applyFill="1" applyBorder="1" applyAlignment="1">
      <alignment vertical="top" wrapText="1"/>
    </xf>
    <xf numFmtId="0" fontId="6" fillId="0" borderId="0" xfId="0" applyFont="1" applyFill="1" applyBorder="1" applyAlignment="1">
      <alignment vertical="top" wrapText="1"/>
    </xf>
    <xf numFmtId="0" fontId="1" fillId="0" borderId="0" xfId="0" applyFont="1" applyBorder="1" applyAlignment="1">
      <alignment vertical="top" wrapText="1"/>
    </xf>
    <xf numFmtId="0" fontId="4" fillId="0" borderId="0" xfId="0"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vertical="top" wrapText="1"/>
    </xf>
    <xf numFmtId="0" fontId="1" fillId="0" borderId="3" xfId="1" applyFont="1" applyBorder="1" applyAlignment="1">
      <alignment horizontal="left" vertical="top" wrapText="1"/>
    </xf>
    <xf numFmtId="0" fontId="1" fillId="0" borderId="2" xfId="0" applyFont="1" applyBorder="1" applyAlignment="1">
      <alignment horizontal="left" vertical="top" wrapText="1"/>
    </xf>
    <xf numFmtId="0" fontId="3" fillId="0" borderId="2" xfId="0" applyFont="1" applyBorder="1" applyAlignment="1">
      <alignment horizontal="left" vertical="top" wrapText="1"/>
    </xf>
    <xf numFmtId="164" fontId="3" fillId="0" borderId="2" xfId="0" applyNumberFormat="1"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1" applyFont="1" applyBorder="1" applyAlignment="1">
      <alignment vertical="top" wrapText="1"/>
    </xf>
    <xf numFmtId="164" fontId="3" fillId="0" borderId="0" xfId="0" applyNumberFormat="1" applyFont="1" applyBorder="1" applyAlignment="1">
      <alignment vertical="top" wrapText="1"/>
    </xf>
    <xf numFmtId="0" fontId="1" fillId="0" borderId="0" xfId="0" applyFont="1" applyFill="1" applyBorder="1" applyAlignment="1">
      <alignment vertical="top" wrapText="1"/>
    </xf>
    <xf numFmtId="0" fontId="3" fillId="0" borderId="0" xfId="0" applyFont="1" applyBorder="1" applyAlignment="1">
      <alignment horizontal="left" vertical="top" wrapText="1"/>
    </xf>
    <xf numFmtId="49" fontId="3" fillId="0" borderId="0" xfId="0" applyNumberFormat="1" applyFont="1" applyFill="1" applyBorder="1" applyAlignment="1">
      <alignment vertical="top" wrapText="1"/>
    </xf>
    <xf numFmtId="49" fontId="1" fillId="0" borderId="0" xfId="0" applyNumberFormat="1" applyFont="1" applyFill="1" applyBorder="1" applyAlignment="1">
      <alignment vertical="top" wrapText="1"/>
    </xf>
    <xf numFmtId="164" fontId="1" fillId="0" borderId="0" xfId="0" applyNumberFormat="1" applyFont="1" applyBorder="1" applyAlignment="1">
      <alignment vertical="top" wrapText="1"/>
    </xf>
  </cellXfs>
  <cellStyles count="8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Normal" xfId="0" builtinId="0"/>
    <cellStyle name="Normal 2" xfId="1"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elfmonitoring_final set"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6"/>
  <sheetViews>
    <sheetView tabSelected="1" zoomScale="130" zoomScaleNormal="130" zoomScalePageLayoutView="75" workbookViewId="0">
      <pane xSplit="1" ySplit="1" topLeftCell="B67" activePane="bottomRight" state="frozen"/>
      <selection pane="topRight" activeCell="G1" sqref="G1"/>
      <selection pane="bottomLeft" activeCell="A2" sqref="A2"/>
      <selection pane="bottomRight" activeCell="K84" sqref="K84"/>
    </sheetView>
  </sheetViews>
  <sheetFormatPr baseColWidth="10" defaultColWidth="10.83203125" defaultRowHeight="16" x14ac:dyDescent="0.2"/>
  <cols>
    <col min="1" max="1" width="25" style="16" customWidth="1"/>
    <col min="2" max="2" width="7.5" style="7" customWidth="1"/>
    <col min="3" max="3" width="11.33203125" style="7" customWidth="1"/>
    <col min="4" max="4" width="39" style="1" customWidth="1"/>
    <col min="5" max="5" width="51.83203125" style="1" customWidth="1"/>
    <col min="6" max="6" width="10.6640625" style="1" customWidth="1"/>
    <col min="7" max="7" width="13" style="1" customWidth="1"/>
    <col min="8" max="8" width="8.83203125" style="1" customWidth="1"/>
    <col min="9" max="9" width="7.1640625" style="1" customWidth="1"/>
    <col min="10" max="10" width="7.5" style="17" customWidth="1"/>
    <col min="11" max="11" width="7.1640625" style="17" customWidth="1"/>
    <col min="12" max="12" width="12.6640625" style="1" customWidth="1"/>
    <col min="13" max="13" width="13.6640625" style="7" customWidth="1"/>
    <col min="14" max="14" width="99.1640625" style="7" customWidth="1"/>
    <col min="15" max="15" width="29.6640625" style="18" customWidth="1"/>
    <col min="16" max="20" width="31.1640625" style="18" customWidth="1"/>
    <col min="21" max="21" width="188.5" style="7" customWidth="1"/>
    <col min="22" max="16384" width="10.83203125" style="7"/>
  </cols>
  <sheetData>
    <row r="1" spans="1:21" s="12" customFormat="1" ht="51" x14ac:dyDescent="0.2">
      <c r="A1" s="11"/>
      <c r="B1" s="12" t="s">
        <v>458</v>
      </c>
      <c r="C1" s="12" t="s">
        <v>0</v>
      </c>
      <c r="D1" s="13" t="s">
        <v>1</v>
      </c>
      <c r="E1" s="13" t="s">
        <v>2</v>
      </c>
      <c r="F1" s="13" t="s">
        <v>762</v>
      </c>
      <c r="G1" s="13" t="s">
        <v>3</v>
      </c>
      <c r="H1" s="13" t="s">
        <v>4</v>
      </c>
      <c r="I1" s="13" t="s">
        <v>5</v>
      </c>
      <c r="J1" s="14" t="s">
        <v>6</v>
      </c>
      <c r="K1" s="14" t="s">
        <v>7</v>
      </c>
      <c r="L1" s="13" t="s">
        <v>8</v>
      </c>
      <c r="M1" s="12" t="s">
        <v>9</v>
      </c>
      <c r="N1" s="12" t="s">
        <v>10</v>
      </c>
      <c r="O1" s="15" t="s">
        <v>11</v>
      </c>
      <c r="P1" s="15" t="s">
        <v>12</v>
      </c>
      <c r="Q1" s="15" t="s">
        <v>463</v>
      </c>
      <c r="R1" s="15" t="s">
        <v>464</v>
      </c>
      <c r="S1" s="15" t="s">
        <v>474</v>
      </c>
      <c r="T1" s="15" t="s">
        <v>475</v>
      </c>
      <c r="U1" s="12" t="s">
        <v>462</v>
      </c>
    </row>
    <row r="2" spans="1:21" ht="34" x14ac:dyDescent="0.2">
      <c r="A2" s="16" t="s">
        <v>13</v>
      </c>
      <c r="B2" s="7">
        <v>2</v>
      </c>
      <c r="C2" s="7" t="s">
        <v>14</v>
      </c>
      <c r="D2" s="1" t="s">
        <v>15</v>
      </c>
      <c r="E2" s="1" t="s">
        <v>16</v>
      </c>
      <c r="F2" s="1">
        <v>80</v>
      </c>
      <c r="G2" s="1">
        <v>62</v>
      </c>
      <c r="H2" s="1">
        <v>46</v>
      </c>
      <c r="I2" s="1">
        <v>16</v>
      </c>
      <c r="J2" s="17">
        <f>(68.3*31+47.1*31)/(31+31)</f>
        <v>57.699999999999996</v>
      </c>
      <c r="K2" s="17">
        <f>(26.3*31+27.8*31)/(31+31)</f>
        <v>27.05</v>
      </c>
      <c r="L2" s="1" t="s">
        <v>17</v>
      </c>
      <c r="M2" s="7" t="s">
        <v>18</v>
      </c>
      <c r="N2" s="7" t="s">
        <v>19</v>
      </c>
      <c r="O2" s="18" t="s">
        <v>20</v>
      </c>
      <c r="P2" s="18" t="s">
        <v>21</v>
      </c>
      <c r="Q2" s="18" t="s">
        <v>465</v>
      </c>
      <c r="R2" s="18" t="s">
        <v>466</v>
      </c>
      <c r="S2" s="18" t="s">
        <v>468</v>
      </c>
      <c r="T2" s="18" t="s">
        <v>18</v>
      </c>
      <c r="U2" s="7" t="s">
        <v>22</v>
      </c>
    </row>
    <row r="3" spans="1:21" ht="68" x14ac:dyDescent="0.2">
      <c r="A3" s="16" t="s">
        <v>23</v>
      </c>
      <c r="B3" s="7">
        <v>2</v>
      </c>
      <c r="C3" s="7" t="s">
        <v>24</v>
      </c>
      <c r="D3" s="19" t="s">
        <v>25</v>
      </c>
      <c r="E3" s="1" t="s">
        <v>26</v>
      </c>
      <c r="F3" s="1">
        <v>30</v>
      </c>
      <c r="G3" s="1">
        <f>12+13</f>
        <v>25</v>
      </c>
      <c r="H3" s="1">
        <v>13</v>
      </c>
      <c r="I3" s="1">
        <v>12</v>
      </c>
      <c r="J3" s="17">
        <f>(41.2*13+52.4*12)/(13+12)</f>
        <v>46.576000000000001</v>
      </c>
      <c r="K3" s="17">
        <f>(34.7*13+34.7*12)/(13+12)</f>
        <v>34.700000000000003</v>
      </c>
      <c r="L3" s="1" t="s">
        <v>17</v>
      </c>
      <c r="M3" s="7" t="s">
        <v>18</v>
      </c>
      <c r="N3" s="7" t="s">
        <v>27</v>
      </c>
      <c r="O3" s="18" t="s">
        <v>28</v>
      </c>
      <c r="P3" s="18" t="s">
        <v>29</v>
      </c>
      <c r="Q3" s="18" t="s">
        <v>763</v>
      </c>
      <c r="R3" s="18" t="s">
        <v>471</v>
      </c>
      <c r="S3" s="18" t="s">
        <v>764</v>
      </c>
      <c r="T3" s="18" t="s">
        <v>18</v>
      </c>
      <c r="U3" s="7" t="s">
        <v>30</v>
      </c>
    </row>
    <row r="4" spans="1:21" ht="34" x14ac:dyDescent="0.2">
      <c r="A4" s="16" t="s">
        <v>31</v>
      </c>
      <c r="B4" s="7">
        <v>2</v>
      </c>
      <c r="C4" s="7" t="s">
        <v>24</v>
      </c>
      <c r="D4" s="19" t="s">
        <v>32</v>
      </c>
      <c r="E4" s="1" t="s">
        <v>33</v>
      </c>
      <c r="F4" s="1">
        <v>61</v>
      </c>
      <c r="G4" s="1">
        <f>30+31</f>
        <v>61</v>
      </c>
      <c r="H4" s="1">
        <v>55</v>
      </c>
      <c r="I4" s="1">
        <v>6</v>
      </c>
      <c r="J4" s="17">
        <v>48</v>
      </c>
      <c r="K4" s="17" t="s">
        <v>18</v>
      </c>
      <c r="L4" s="1" t="s">
        <v>17</v>
      </c>
      <c r="M4" s="7" t="s">
        <v>34</v>
      </c>
      <c r="N4" s="7" t="s">
        <v>35</v>
      </c>
      <c r="O4" s="18" t="s">
        <v>589</v>
      </c>
      <c r="P4" s="18" t="s">
        <v>36</v>
      </c>
      <c r="Q4" s="18" t="s">
        <v>589</v>
      </c>
      <c r="R4" s="18" t="s">
        <v>467</v>
      </c>
      <c r="S4" s="20" t="s">
        <v>469</v>
      </c>
      <c r="T4" s="20" t="s">
        <v>470</v>
      </c>
      <c r="U4" s="7" t="s">
        <v>37</v>
      </c>
    </row>
    <row r="5" spans="1:21" ht="34" x14ac:dyDescent="0.2">
      <c r="A5" s="16" t="s">
        <v>38</v>
      </c>
      <c r="B5" s="7">
        <v>2</v>
      </c>
      <c r="C5" s="7" t="s">
        <v>39</v>
      </c>
      <c r="D5" s="1" t="s">
        <v>40</v>
      </c>
      <c r="E5" s="1" t="s">
        <v>41</v>
      </c>
      <c r="F5" s="1">
        <v>43</v>
      </c>
      <c r="G5" s="1">
        <v>43</v>
      </c>
      <c r="H5" s="1">
        <f>14+13</f>
        <v>27</v>
      </c>
      <c r="I5" s="1">
        <f>8+8</f>
        <v>16</v>
      </c>
      <c r="J5" s="17">
        <f>(65.9*22+65.1*21)/(22+21)</f>
        <v>65.509302325581402</v>
      </c>
      <c r="K5" s="17">
        <f>(24.6*22+25.5*21)/(22+21)</f>
        <v>25.039534883720933</v>
      </c>
      <c r="L5" s="1" t="s">
        <v>17</v>
      </c>
      <c r="M5" s="7" t="s">
        <v>42</v>
      </c>
      <c r="N5" s="7" t="s">
        <v>43</v>
      </c>
      <c r="O5" s="18" t="s">
        <v>603</v>
      </c>
      <c r="P5" s="18" t="s">
        <v>36</v>
      </c>
      <c r="Q5" s="18" t="s">
        <v>603</v>
      </c>
      <c r="R5" s="18" t="s">
        <v>467</v>
      </c>
      <c r="S5" s="18" t="s">
        <v>472</v>
      </c>
      <c r="T5" s="18" t="s">
        <v>473</v>
      </c>
      <c r="U5" s="7" t="s">
        <v>44</v>
      </c>
    </row>
    <row r="6" spans="1:21" ht="51" x14ac:dyDescent="0.2">
      <c r="A6" s="16" t="s">
        <v>45</v>
      </c>
      <c r="B6" s="7">
        <v>2</v>
      </c>
      <c r="C6" s="7" t="s">
        <v>24</v>
      </c>
      <c r="D6" s="1" t="s">
        <v>46</v>
      </c>
      <c r="E6" s="1" t="s">
        <v>47</v>
      </c>
      <c r="F6" s="1">
        <v>263</v>
      </c>
      <c r="G6" s="1">
        <v>200</v>
      </c>
      <c r="H6" s="1">
        <v>161</v>
      </c>
      <c r="I6" s="1">
        <v>102</v>
      </c>
      <c r="J6" s="17">
        <v>71.3</v>
      </c>
      <c r="K6" s="17">
        <v>29.5</v>
      </c>
      <c r="L6" s="1" t="s">
        <v>48</v>
      </c>
      <c r="M6" s="7" t="s">
        <v>49</v>
      </c>
      <c r="N6" s="7" t="s">
        <v>50</v>
      </c>
      <c r="O6" s="18" t="s">
        <v>765</v>
      </c>
      <c r="P6" s="18" t="s">
        <v>36</v>
      </c>
      <c r="Q6" s="18" t="s">
        <v>765</v>
      </c>
      <c r="R6" s="18" t="s">
        <v>466</v>
      </c>
      <c r="S6" s="18" t="s">
        <v>476</v>
      </c>
      <c r="T6" s="18" t="s">
        <v>477</v>
      </c>
      <c r="U6" s="7" t="s">
        <v>51</v>
      </c>
    </row>
    <row r="7" spans="1:21" s="1" customFormat="1" ht="51" x14ac:dyDescent="0.2">
      <c r="A7" s="2" t="s">
        <v>455</v>
      </c>
      <c r="B7" s="1">
        <v>5</v>
      </c>
      <c r="C7" s="1" t="s">
        <v>52</v>
      </c>
      <c r="D7" s="1" t="s">
        <v>53</v>
      </c>
      <c r="E7" s="1" t="s">
        <v>54</v>
      </c>
      <c r="F7" s="1">
        <v>80</v>
      </c>
      <c r="G7" s="1">
        <v>80</v>
      </c>
      <c r="H7" s="1">
        <f>15+16+16+11</f>
        <v>58</v>
      </c>
      <c r="I7" s="1">
        <v>22</v>
      </c>
      <c r="J7" s="17">
        <f>(28.67*16+39.53*16+37.25*16+35.75*16)/(16+16+16+16)</f>
        <v>35.299999999999997</v>
      </c>
      <c r="K7" s="17" t="s">
        <v>18</v>
      </c>
      <c r="L7" s="1" t="s">
        <v>55</v>
      </c>
      <c r="M7" s="1" t="s">
        <v>18</v>
      </c>
      <c r="N7" s="1" t="s">
        <v>56</v>
      </c>
      <c r="O7" s="3" t="s">
        <v>478</v>
      </c>
      <c r="P7" s="3" t="s">
        <v>36</v>
      </c>
      <c r="Q7" s="3" t="s">
        <v>478</v>
      </c>
      <c r="R7" s="3" t="s">
        <v>466</v>
      </c>
      <c r="S7" s="3" t="s">
        <v>479</v>
      </c>
      <c r="T7" s="3" t="s">
        <v>18</v>
      </c>
      <c r="U7" s="1" t="s">
        <v>57</v>
      </c>
    </row>
    <row r="8" spans="1:21" ht="34" x14ac:dyDescent="0.2">
      <c r="A8" s="16" t="s">
        <v>58</v>
      </c>
      <c r="B8" s="7">
        <v>2</v>
      </c>
      <c r="C8" s="7" t="s">
        <v>24</v>
      </c>
      <c r="D8" s="1" t="s">
        <v>18</v>
      </c>
      <c r="E8" s="1" t="s">
        <v>59</v>
      </c>
      <c r="F8" s="1">
        <v>51</v>
      </c>
      <c r="G8" s="1">
        <v>51</v>
      </c>
      <c r="H8" s="1">
        <v>51</v>
      </c>
      <c r="I8" s="1">
        <v>0</v>
      </c>
      <c r="J8" s="17">
        <v>51</v>
      </c>
      <c r="K8" s="17">
        <v>29.2</v>
      </c>
      <c r="L8" s="1" t="s">
        <v>61</v>
      </c>
      <c r="M8" s="7" t="s">
        <v>18</v>
      </c>
      <c r="N8" s="7" t="s">
        <v>62</v>
      </c>
      <c r="O8" s="18" t="s">
        <v>63</v>
      </c>
      <c r="P8" s="18" t="s">
        <v>36</v>
      </c>
      <c r="Q8" s="18" t="s">
        <v>481</v>
      </c>
      <c r="R8" s="18" t="s">
        <v>480</v>
      </c>
      <c r="S8" s="18" t="s">
        <v>482</v>
      </c>
      <c r="T8" s="18" t="s">
        <v>18</v>
      </c>
      <c r="U8" s="7" t="s">
        <v>64</v>
      </c>
    </row>
    <row r="9" spans="1:21" ht="34" x14ac:dyDescent="0.2">
      <c r="A9" s="16" t="s">
        <v>457</v>
      </c>
      <c r="B9" s="7">
        <v>4</v>
      </c>
      <c r="C9" s="7" t="s">
        <v>65</v>
      </c>
      <c r="D9" s="1" t="s">
        <v>66</v>
      </c>
      <c r="E9" s="1" t="s">
        <v>67</v>
      </c>
      <c r="F9" s="1">
        <v>220</v>
      </c>
      <c r="G9" s="1">
        <v>161</v>
      </c>
      <c r="H9" s="1">
        <v>92</v>
      </c>
      <c r="I9" s="1">
        <v>69</v>
      </c>
      <c r="J9" s="17">
        <f>(21.6*52+21.92*61+21.65*48)/(52+61+48)</f>
        <v>21.73614906832298</v>
      </c>
      <c r="K9" s="17" t="s">
        <v>18</v>
      </c>
      <c r="L9" s="1" t="s">
        <v>68</v>
      </c>
      <c r="M9" s="7" t="s">
        <v>69</v>
      </c>
      <c r="N9" s="7" t="s">
        <v>70</v>
      </c>
      <c r="O9" s="18" t="s">
        <v>766</v>
      </c>
      <c r="P9" s="18" t="s">
        <v>36</v>
      </c>
      <c r="Q9" s="18" t="s">
        <v>766</v>
      </c>
      <c r="R9" s="18" t="s">
        <v>467</v>
      </c>
      <c r="S9" s="18" t="s">
        <v>483</v>
      </c>
      <c r="T9" s="18" t="s">
        <v>484</v>
      </c>
      <c r="U9" s="7" t="s">
        <v>456</v>
      </c>
    </row>
    <row r="10" spans="1:21" ht="34" x14ac:dyDescent="0.2">
      <c r="A10" s="16" t="s">
        <v>71</v>
      </c>
      <c r="B10" s="7">
        <v>3</v>
      </c>
      <c r="C10" s="7" t="s">
        <v>72</v>
      </c>
      <c r="D10" s="1" t="s">
        <v>73</v>
      </c>
      <c r="E10" s="1" t="s">
        <v>74</v>
      </c>
      <c r="F10" s="1">
        <v>23</v>
      </c>
      <c r="G10" s="1">
        <v>23</v>
      </c>
      <c r="H10" s="1" t="s">
        <v>18</v>
      </c>
      <c r="I10" s="1" t="s">
        <v>18</v>
      </c>
      <c r="J10" s="17">
        <f>(19.17*12+20.64*11)/(12+11)</f>
        <v>19.873043478260872</v>
      </c>
      <c r="K10" s="17">
        <f>(30.68*12+29.45*11)/(12+11)</f>
        <v>30.091739130434778</v>
      </c>
      <c r="L10" s="1" t="s">
        <v>75</v>
      </c>
      <c r="M10" s="7" t="s">
        <v>18</v>
      </c>
      <c r="N10" s="7" t="s">
        <v>76</v>
      </c>
      <c r="O10" s="18" t="s">
        <v>767</v>
      </c>
      <c r="P10" s="18" t="s">
        <v>36</v>
      </c>
      <c r="Q10" s="18" t="s">
        <v>767</v>
      </c>
      <c r="R10" s="18" t="s">
        <v>485</v>
      </c>
      <c r="S10" s="18" t="s">
        <v>768</v>
      </c>
      <c r="T10" s="18" t="s">
        <v>18</v>
      </c>
      <c r="U10" s="7" t="s">
        <v>77</v>
      </c>
    </row>
    <row r="11" spans="1:21" ht="51" x14ac:dyDescent="0.2">
      <c r="A11" s="16" t="s">
        <v>78</v>
      </c>
      <c r="B11" s="7">
        <v>2</v>
      </c>
      <c r="C11" s="7" t="s">
        <v>24</v>
      </c>
      <c r="D11" s="1" t="s">
        <v>79</v>
      </c>
      <c r="E11" s="1" t="s">
        <v>80</v>
      </c>
      <c r="F11" s="1">
        <v>30</v>
      </c>
      <c r="G11" s="1">
        <v>29</v>
      </c>
      <c r="H11" s="1">
        <v>29</v>
      </c>
      <c r="I11" s="1">
        <v>0</v>
      </c>
      <c r="J11" s="17">
        <v>33.700000000000003</v>
      </c>
      <c r="K11" s="17">
        <v>27.7</v>
      </c>
      <c r="L11" s="1" t="s">
        <v>17</v>
      </c>
      <c r="M11" s="7" t="s">
        <v>18</v>
      </c>
      <c r="N11" s="7" t="s">
        <v>81</v>
      </c>
      <c r="O11" s="18" t="s">
        <v>769</v>
      </c>
      <c r="P11" s="18" t="s">
        <v>36</v>
      </c>
      <c r="Q11" s="18" t="s">
        <v>769</v>
      </c>
      <c r="R11" s="18" t="s">
        <v>480</v>
      </c>
      <c r="S11" s="18" t="s">
        <v>770</v>
      </c>
      <c r="T11" s="18" t="s">
        <v>18</v>
      </c>
      <c r="U11" s="7" t="s">
        <v>82</v>
      </c>
    </row>
    <row r="12" spans="1:21" ht="51" x14ac:dyDescent="0.2">
      <c r="A12" s="16" t="s">
        <v>83</v>
      </c>
      <c r="B12" s="7">
        <v>2</v>
      </c>
      <c r="C12" s="7" t="s">
        <v>24</v>
      </c>
      <c r="D12" s="1" t="s">
        <v>84</v>
      </c>
      <c r="E12" s="1" t="s">
        <v>85</v>
      </c>
      <c r="F12" s="1">
        <v>49</v>
      </c>
      <c r="G12" s="1">
        <v>47</v>
      </c>
      <c r="H12" s="1">
        <v>47</v>
      </c>
      <c r="I12" s="1">
        <v>0</v>
      </c>
      <c r="J12" s="17">
        <v>36.4</v>
      </c>
      <c r="K12" s="17">
        <v>31.4</v>
      </c>
      <c r="L12" s="1" t="s">
        <v>17</v>
      </c>
      <c r="M12" s="7" t="s">
        <v>18</v>
      </c>
      <c r="N12" s="7" t="s">
        <v>86</v>
      </c>
      <c r="O12" s="18" t="s">
        <v>486</v>
      </c>
      <c r="P12" s="18" t="s">
        <v>36</v>
      </c>
      <c r="Q12" s="18" t="s">
        <v>486</v>
      </c>
      <c r="R12" s="18" t="s">
        <v>480</v>
      </c>
      <c r="S12" s="18" t="s">
        <v>771</v>
      </c>
      <c r="T12" s="18" t="s">
        <v>18</v>
      </c>
      <c r="U12" s="7" t="s">
        <v>88</v>
      </c>
    </row>
    <row r="13" spans="1:21" ht="51" x14ac:dyDescent="0.2">
      <c r="A13" s="16" t="s">
        <v>89</v>
      </c>
      <c r="B13" s="7">
        <v>2</v>
      </c>
      <c r="C13" s="7" t="s">
        <v>24</v>
      </c>
      <c r="D13" s="1" t="s">
        <v>90</v>
      </c>
      <c r="E13" s="1" t="s">
        <v>91</v>
      </c>
      <c r="F13" s="1">
        <v>105</v>
      </c>
      <c r="G13" s="1">
        <v>105</v>
      </c>
      <c r="H13" s="1">
        <v>32</v>
      </c>
      <c r="I13" s="1">
        <v>73</v>
      </c>
      <c r="J13" s="17">
        <f>(59.1*55+60*50)/(55+50)</f>
        <v>59.528571428571432</v>
      </c>
      <c r="K13" s="17">
        <f>(30.1*55+31*50)/(55+50)</f>
        <v>30.528571428571428</v>
      </c>
      <c r="L13" s="1" t="s">
        <v>61</v>
      </c>
      <c r="M13" s="7" t="s">
        <v>42</v>
      </c>
      <c r="N13" s="7" t="s">
        <v>92</v>
      </c>
      <c r="O13" s="18" t="s">
        <v>772</v>
      </c>
      <c r="P13" s="18" t="s">
        <v>36</v>
      </c>
      <c r="Q13" s="18" t="s">
        <v>772</v>
      </c>
      <c r="R13" s="18" t="s">
        <v>480</v>
      </c>
      <c r="S13" s="18" t="s">
        <v>488</v>
      </c>
      <c r="T13" s="18" t="s">
        <v>773</v>
      </c>
      <c r="U13" s="7" t="s">
        <v>93</v>
      </c>
    </row>
    <row r="14" spans="1:21" s="1" customFormat="1" ht="51" x14ac:dyDescent="0.2">
      <c r="A14" s="2" t="s">
        <v>94</v>
      </c>
      <c r="B14" s="1">
        <v>2</v>
      </c>
      <c r="C14" s="1" t="s">
        <v>95</v>
      </c>
      <c r="D14" s="1" t="s">
        <v>96</v>
      </c>
      <c r="E14" s="1" t="s">
        <v>97</v>
      </c>
      <c r="F14" s="1">
        <v>199</v>
      </c>
      <c r="G14" s="1">
        <f>86+78</f>
        <v>164</v>
      </c>
      <c r="H14" s="1">
        <f>G14-I14</f>
        <v>109</v>
      </c>
      <c r="I14" s="1">
        <f>29+26</f>
        <v>55</v>
      </c>
      <c r="J14" s="17">
        <f>(62*86+63*78)/(86+78)</f>
        <v>62.475609756097562</v>
      </c>
      <c r="K14" s="17">
        <f>(30*86+29*78)/(86+78)</f>
        <v>29.524390243902438</v>
      </c>
      <c r="L14" s="1" t="s">
        <v>98</v>
      </c>
      <c r="M14" s="1" t="s">
        <v>18</v>
      </c>
      <c r="N14" s="1" t="s">
        <v>99</v>
      </c>
      <c r="O14" s="3" t="s">
        <v>487</v>
      </c>
      <c r="P14" s="3" t="s">
        <v>36</v>
      </c>
      <c r="Q14" s="3" t="s">
        <v>487</v>
      </c>
      <c r="R14" s="18" t="s">
        <v>466</v>
      </c>
      <c r="S14" s="3" t="s">
        <v>489</v>
      </c>
      <c r="T14" s="3" t="s">
        <v>18</v>
      </c>
      <c r="U14" s="1" t="s">
        <v>100</v>
      </c>
    </row>
    <row r="15" spans="1:21" ht="17" x14ac:dyDescent="0.2">
      <c r="A15" s="16" t="s">
        <v>101</v>
      </c>
      <c r="B15" s="7">
        <v>3</v>
      </c>
      <c r="C15" s="7" t="s">
        <v>24</v>
      </c>
      <c r="D15" s="1" t="s">
        <v>102</v>
      </c>
      <c r="E15" s="1" t="s">
        <v>103</v>
      </c>
      <c r="F15" s="1">
        <v>100</v>
      </c>
      <c r="G15" s="1">
        <v>70</v>
      </c>
      <c r="H15" s="1">
        <v>58</v>
      </c>
      <c r="I15" s="1">
        <v>12</v>
      </c>
      <c r="J15" s="17">
        <f>(43.6*35+46.2*35)/(35+35)</f>
        <v>44.9</v>
      </c>
      <c r="K15" s="17">
        <f>(48.7*35+45*35)/(35+35)</f>
        <v>46.85</v>
      </c>
      <c r="L15" s="1" t="s">
        <v>104</v>
      </c>
      <c r="M15" s="7" t="s">
        <v>18</v>
      </c>
      <c r="N15" s="7" t="s">
        <v>105</v>
      </c>
      <c r="O15" s="18" t="s">
        <v>774</v>
      </c>
      <c r="P15" s="18" t="s">
        <v>36</v>
      </c>
      <c r="Q15" s="18" t="s">
        <v>490</v>
      </c>
      <c r="R15" s="18" t="s">
        <v>466</v>
      </c>
      <c r="S15" s="18" t="s">
        <v>775</v>
      </c>
      <c r="T15" s="18" t="s">
        <v>18</v>
      </c>
      <c r="U15" s="7" t="s">
        <v>106</v>
      </c>
    </row>
    <row r="16" spans="1:21" ht="51" x14ac:dyDescent="0.2">
      <c r="A16" s="16" t="s">
        <v>107</v>
      </c>
      <c r="B16" s="7">
        <v>2</v>
      </c>
      <c r="C16" s="7" t="s">
        <v>24</v>
      </c>
      <c r="D16" s="1" t="s">
        <v>108</v>
      </c>
      <c r="E16" s="1" t="s">
        <v>109</v>
      </c>
      <c r="F16" s="1">
        <v>39</v>
      </c>
      <c r="G16" s="1">
        <v>28</v>
      </c>
      <c r="H16" s="1">
        <v>21</v>
      </c>
      <c r="I16" s="1">
        <v>7</v>
      </c>
      <c r="J16" s="17">
        <v>64</v>
      </c>
      <c r="K16" s="17">
        <v>32.200000000000003</v>
      </c>
      <c r="L16" s="1" t="s">
        <v>104</v>
      </c>
      <c r="M16" s="7" t="s">
        <v>49</v>
      </c>
      <c r="N16" s="7" t="s">
        <v>110</v>
      </c>
      <c r="O16" s="18" t="s">
        <v>776</v>
      </c>
      <c r="P16" s="18" t="s">
        <v>36</v>
      </c>
      <c r="Q16" s="18" t="s">
        <v>776</v>
      </c>
      <c r="R16" s="18" t="s">
        <v>491</v>
      </c>
      <c r="S16" s="18" t="s">
        <v>492</v>
      </c>
      <c r="T16" s="18" t="s">
        <v>493</v>
      </c>
      <c r="U16" s="7" t="s">
        <v>111</v>
      </c>
    </row>
    <row r="17" spans="1:21" ht="34" x14ac:dyDescent="0.2">
      <c r="A17" s="16" t="s">
        <v>112</v>
      </c>
      <c r="B17" s="7">
        <v>2</v>
      </c>
      <c r="C17" s="7" t="s">
        <v>24</v>
      </c>
      <c r="D17" s="1" t="s">
        <v>113</v>
      </c>
      <c r="E17" s="1" t="s">
        <v>114</v>
      </c>
      <c r="F17" s="1">
        <v>375</v>
      </c>
      <c r="G17" s="1">
        <v>226</v>
      </c>
      <c r="H17" s="1">
        <v>90</v>
      </c>
      <c r="I17" s="1">
        <v>267</v>
      </c>
      <c r="J17" s="17">
        <v>39.799999999999997</v>
      </c>
      <c r="K17" s="17" t="s">
        <v>18</v>
      </c>
      <c r="L17" s="1" t="s">
        <v>49</v>
      </c>
      <c r="M17" s="7" t="s">
        <v>18</v>
      </c>
      <c r="N17" s="7" t="s">
        <v>115</v>
      </c>
      <c r="O17" s="18" t="s">
        <v>698</v>
      </c>
      <c r="P17" s="18" t="s">
        <v>36</v>
      </c>
      <c r="Q17" s="18" t="s">
        <v>698</v>
      </c>
      <c r="R17" s="18" t="s">
        <v>494</v>
      </c>
      <c r="S17" s="18" t="s">
        <v>495</v>
      </c>
      <c r="T17" s="18" t="s">
        <v>18</v>
      </c>
      <c r="U17" s="7" t="s">
        <v>116</v>
      </c>
    </row>
    <row r="18" spans="1:21" ht="51" x14ac:dyDescent="0.2">
      <c r="A18" s="16" t="s">
        <v>117</v>
      </c>
      <c r="B18" s="7">
        <v>2</v>
      </c>
      <c r="C18" s="7" t="s">
        <v>118</v>
      </c>
      <c r="D18" s="1" t="s">
        <v>119</v>
      </c>
      <c r="E18" s="1" t="s">
        <v>120</v>
      </c>
      <c r="F18" s="1">
        <v>92</v>
      </c>
      <c r="G18" s="1">
        <f>32+37</f>
        <v>69</v>
      </c>
      <c r="H18" s="1">
        <v>54</v>
      </c>
      <c r="I18" s="1">
        <v>38</v>
      </c>
      <c r="J18" s="17">
        <f>(46.6*45+47.7*47)/(45+47)</f>
        <v>47.161956521739128</v>
      </c>
      <c r="K18" s="17">
        <f>(25.8*45+26.3*47)/(45+47)</f>
        <v>26.0554347826087</v>
      </c>
      <c r="L18" s="1" t="s">
        <v>98</v>
      </c>
      <c r="M18" s="7" t="s">
        <v>18</v>
      </c>
      <c r="N18" s="7" t="s">
        <v>121</v>
      </c>
      <c r="O18" s="18" t="s">
        <v>777</v>
      </c>
      <c r="P18" s="18" t="s">
        <v>36</v>
      </c>
      <c r="Q18" s="18" t="s">
        <v>777</v>
      </c>
      <c r="R18" s="18" t="s">
        <v>491</v>
      </c>
      <c r="S18" s="18" t="s">
        <v>496</v>
      </c>
      <c r="T18" s="18" t="s">
        <v>18</v>
      </c>
      <c r="U18" s="7" t="s">
        <v>122</v>
      </c>
    </row>
    <row r="19" spans="1:21" ht="34" x14ac:dyDescent="0.2">
      <c r="A19" s="16" t="s">
        <v>123</v>
      </c>
      <c r="B19" s="7">
        <v>3</v>
      </c>
      <c r="C19" s="7" t="s">
        <v>24</v>
      </c>
      <c r="D19" s="1" t="s">
        <v>73</v>
      </c>
      <c r="E19" s="1" t="s">
        <v>124</v>
      </c>
      <c r="F19" s="1">
        <v>80</v>
      </c>
      <c r="G19" s="1">
        <f>35+38</f>
        <v>73</v>
      </c>
      <c r="H19" s="1">
        <v>39</v>
      </c>
      <c r="I19" s="1">
        <v>34</v>
      </c>
      <c r="J19" s="17">
        <v>22.9</v>
      </c>
      <c r="K19" s="17">
        <f>(25.3*15+25.7*19+21.6*20+22.5*19)/(15+19+20+19)</f>
        <v>23.661643835616438</v>
      </c>
      <c r="L19" s="1" t="s">
        <v>125</v>
      </c>
      <c r="M19" s="7" t="s">
        <v>18</v>
      </c>
      <c r="N19" s="7" t="s">
        <v>126</v>
      </c>
      <c r="O19" s="18" t="s">
        <v>689</v>
      </c>
      <c r="P19" s="18" t="s">
        <v>36</v>
      </c>
      <c r="Q19" s="18" t="s">
        <v>689</v>
      </c>
      <c r="R19" s="18" t="s">
        <v>466</v>
      </c>
      <c r="S19" s="18" t="s">
        <v>778</v>
      </c>
      <c r="T19" s="18" t="s">
        <v>18</v>
      </c>
      <c r="U19" s="7" t="s">
        <v>128</v>
      </c>
    </row>
    <row r="20" spans="1:21" s="1" customFormat="1" ht="34" x14ac:dyDescent="0.2">
      <c r="A20" s="2" t="s">
        <v>129</v>
      </c>
      <c r="B20" s="1">
        <v>2</v>
      </c>
      <c r="C20" s="1" t="s">
        <v>24</v>
      </c>
      <c r="D20" s="1" t="s">
        <v>18</v>
      </c>
      <c r="E20" s="1" t="s">
        <v>130</v>
      </c>
      <c r="F20" s="1">
        <v>27</v>
      </c>
      <c r="G20" s="1">
        <v>23</v>
      </c>
      <c r="H20" s="1">
        <v>19</v>
      </c>
      <c r="I20" s="1">
        <v>8</v>
      </c>
      <c r="J20" s="17">
        <v>54.3</v>
      </c>
      <c r="K20" s="17">
        <v>31.5</v>
      </c>
      <c r="L20" s="1" t="s">
        <v>131</v>
      </c>
      <c r="M20" s="1" t="s">
        <v>18</v>
      </c>
      <c r="N20" s="1" t="s">
        <v>132</v>
      </c>
      <c r="O20" s="3" t="s">
        <v>497</v>
      </c>
      <c r="P20" s="3" t="s">
        <v>36</v>
      </c>
      <c r="Q20" s="3" t="s">
        <v>497</v>
      </c>
      <c r="R20" s="18" t="s">
        <v>491</v>
      </c>
      <c r="S20" s="3" t="s">
        <v>498</v>
      </c>
      <c r="T20" s="3" t="s">
        <v>18</v>
      </c>
      <c r="U20" s="1" t="s">
        <v>133</v>
      </c>
    </row>
    <row r="21" spans="1:21" ht="85" x14ac:dyDescent="0.2">
      <c r="A21" s="16" t="s">
        <v>134</v>
      </c>
      <c r="B21" s="7">
        <v>2</v>
      </c>
      <c r="C21" s="7" t="s">
        <v>24</v>
      </c>
      <c r="D21" s="1" t="s">
        <v>135</v>
      </c>
      <c r="E21" s="1" t="s">
        <v>136</v>
      </c>
      <c r="F21" s="1">
        <v>91</v>
      </c>
      <c r="G21" s="1">
        <v>91</v>
      </c>
      <c r="H21" s="1">
        <v>48</v>
      </c>
      <c r="I21" s="1">
        <v>43</v>
      </c>
      <c r="J21" s="17">
        <v>41.7</v>
      </c>
      <c r="K21" s="17">
        <v>29.6</v>
      </c>
      <c r="L21" s="1" t="s">
        <v>17</v>
      </c>
      <c r="M21" s="7" t="s">
        <v>18</v>
      </c>
      <c r="N21" s="7" t="s">
        <v>137</v>
      </c>
      <c r="O21" s="18" t="s">
        <v>672</v>
      </c>
      <c r="P21" s="18" t="s">
        <v>36</v>
      </c>
      <c r="Q21" s="18" t="s">
        <v>499</v>
      </c>
      <c r="R21" s="18" t="s">
        <v>491</v>
      </c>
      <c r="S21" s="18" t="s">
        <v>500</v>
      </c>
      <c r="T21" s="18" t="s">
        <v>18</v>
      </c>
      <c r="U21" s="7" t="s">
        <v>138</v>
      </c>
    </row>
    <row r="22" spans="1:21" ht="68" x14ac:dyDescent="0.2">
      <c r="A22" s="16" t="s">
        <v>139</v>
      </c>
      <c r="B22" s="7">
        <v>2</v>
      </c>
      <c r="C22" s="7" t="s">
        <v>24</v>
      </c>
      <c r="D22" s="1" t="s">
        <v>140</v>
      </c>
      <c r="E22" s="1" t="s">
        <v>141</v>
      </c>
      <c r="F22" s="1">
        <v>51</v>
      </c>
      <c r="G22" s="1">
        <v>44</v>
      </c>
      <c r="H22" s="1">
        <v>23</v>
      </c>
      <c r="I22" s="1">
        <v>28</v>
      </c>
      <c r="J22" s="17">
        <v>64.099999999999994</v>
      </c>
      <c r="K22" s="17" t="s">
        <v>18</v>
      </c>
      <c r="L22" s="1" t="s">
        <v>49</v>
      </c>
      <c r="M22" s="7" t="s">
        <v>18</v>
      </c>
      <c r="N22" s="7" t="s">
        <v>142</v>
      </c>
      <c r="O22" s="18" t="s">
        <v>143</v>
      </c>
      <c r="P22" s="18" t="s">
        <v>36</v>
      </c>
      <c r="Q22" s="18" t="s">
        <v>501</v>
      </c>
      <c r="R22" s="18" t="s">
        <v>467</v>
      </c>
      <c r="S22" s="18" t="s">
        <v>779</v>
      </c>
      <c r="T22" s="18" t="s">
        <v>18</v>
      </c>
      <c r="U22" s="7" t="s">
        <v>144</v>
      </c>
    </row>
    <row r="23" spans="1:21" ht="68" x14ac:dyDescent="0.2">
      <c r="A23" s="16" t="s">
        <v>145</v>
      </c>
      <c r="B23" s="7">
        <v>4</v>
      </c>
      <c r="C23" s="7" t="s">
        <v>146</v>
      </c>
      <c r="D23" s="1" t="s">
        <v>147</v>
      </c>
      <c r="E23" s="1" t="s">
        <v>148</v>
      </c>
      <c r="F23" s="1">
        <v>599</v>
      </c>
      <c r="G23" s="1">
        <v>491</v>
      </c>
      <c r="H23" s="1">
        <v>318</v>
      </c>
      <c r="I23" s="1">
        <v>281</v>
      </c>
      <c r="J23" s="17">
        <f>(35.5*199+35.4*203+35.5*192)/(199+203+197)</f>
        <v>35.16978297161937</v>
      </c>
      <c r="K23" s="17" t="s">
        <v>18</v>
      </c>
      <c r="L23" s="1" t="s">
        <v>104</v>
      </c>
      <c r="M23" s="7" t="s">
        <v>149</v>
      </c>
      <c r="N23" s="7" t="s">
        <v>150</v>
      </c>
      <c r="O23" s="18" t="s">
        <v>503</v>
      </c>
      <c r="P23" s="18" t="s">
        <v>151</v>
      </c>
      <c r="Q23" s="18" t="s">
        <v>502</v>
      </c>
      <c r="R23" s="18" t="s">
        <v>467</v>
      </c>
      <c r="S23" s="18" t="s">
        <v>504</v>
      </c>
      <c r="T23" s="18" t="s">
        <v>505</v>
      </c>
      <c r="U23" s="7" t="s">
        <v>152</v>
      </c>
    </row>
    <row r="24" spans="1:21" ht="34" x14ac:dyDescent="0.2">
      <c r="A24" s="16" t="s">
        <v>153</v>
      </c>
      <c r="B24" s="7">
        <v>2</v>
      </c>
      <c r="C24" s="7" t="s">
        <v>52</v>
      </c>
      <c r="D24" s="1" t="s">
        <v>154</v>
      </c>
      <c r="E24" s="1" t="s">
        <v>155</v>
      </c>
      <c r="F24" s="1">
        <v>80</v>
      </c>
      <c r="G24" s="1">
        <v>48</v>
      </c>
      <c r="H24" s="1">
        <v>63</v>
      </c>
      <c r="I24" s="1">
        <v>16</v>
      </c>
      <c r="J24" s="17">
        <v>49.2</v>
      </c>
      <c r="K24" s="17">
        <f>(28.54*39+29.47*40)/(39+40)</f>
        <v>29.010886075949362</v>
      </c>
      <c r="L24" s="1" t="s">
        <v>156</v>
      </c>
      <c r="M24" s="7" t="s">
        <v>18</v>
      </c>
      <c r="N24" s="7" t="s">
        <v>157</v>
      </c>
      <c r="O24" s="18" t="s">
        <v>780</v>
      </c>
      <c r="P24" s="18" t="s">
        <v>36</v>
      </c>
      <c r="Q24" s="18" t="s">
        <v>780</v>
      </c>
      <c r="R24" s="18" t="s">
        <v>467</v>
      </c>
      <c r="S24" s="18" t="s">
        <v>506</v>
      </c>
      <c r="T24" s="18" t="s">
        <v>18</v>
      </c>
      <c r="U24" s="7" t="s">
        <v>158</v>
      </c>
    </row>
    <row r="25" spans="1:21" s="1" customFormat="1" ht="34" x14ac:dyDescent="0.2">
      <c r="A25" s="2" t="s">
        <v>159</v>
      </c>
      <c r="B25" s="1">
        <v>2</v>
      </c>
      <c r="C25" s="1" t="s">
        <v>160</v>
      </c>
      <c r="D25" s="1" t="s">
        <v>161</v>
      </c>
      <c r="E25" s="1" t="s">
        <v>162</v>
      </c>
      <c r="F25" s="1">
        <v>102</v>
      </c>
      <c r="G25" s="1">
        <f>45+46</f>
        <v>91</v>
      </c>
      <c r="H25" s="1">
        <v>47</v>
      </c>
      <c r="I25" s="1">
        <v>44</v>
      </c>
      <c r="J25" s="17">
        <f>(65.2*46+66.1*45)/(46+45)</f>
        <v>65.645054945054937</v>
      </c>
      <c r="K25" s="17">
        <f>(30.4*46+28.6*45)/(46+45)</f>
        <v>29.509890109890105</v>
      </c>
      <c r="L25" s="1" t="s">
        <v>98</v>
      </c>
      <c r="M25" s="1" t="s">
        <v>104</v>
      </c>
      <c r="N25" s="1" t="s">
        <v>163</v>
      </c>
      <c r="O25" s="3" t="s">
        <v>507</v>
      </c>
      <c r="P25" s="3" t="s">
        <v>36</v>
      </c>
      <c r="Q25" s="3" t="s">
        <v>507</v>
      </c>
      <c r="R25" s="18" t="s">
        <v>467</v>
      </c>
      <c r="S25" s="3" t="s">
        <v>508</v>
      </c>
      <c r="T25" s="3" t="s">
        <v>509</v>
      </c>
      <c r="U25" s="1" t="s">
        <v>164</v>
      </c>
    </row>
    <row r="26" spans="1:21" ht="51" x14ac:dyDescent="0.2">
      <c r="A26" s="16" t="s">
        <v>165</v>
      </c>
      <c r="B26" s="7">
        <v>3</v>
      </c>
      <c r="C26" s="7" t="s">
        <v>24</v>
      </c>
      <c r="D26" s="1" t="s">
        <v>166</v>
      </c>
      <c r="E26" s="1" t="s">
        <v>167</v>
      </c>
      <c r="F26" s="1">
        <v>210</v>
      </c>
      <c r="G26" s="1">
        <v>210</v>
      </c>
      <c r="H26" s="1">
        <v>210</v>
      </c>
      <c r="I26" s="1">
        <v>0</v>
      </c>
      <c r="J26" s="17">
        <f>(51.7*69+53.5*71+52*70)/(69+71+70)</f>
        <v>52.408571428571427</v>
      </c>
      <c r="K26" s="17">
        <f>(30.2*69+29.6*71+29.8*70)/(69+71+70)</f>
        <v>29.863809523809522</v>
      </c>
      <c r="L26" s="1" t="s">
        <v>168</v>
      </c>
      <c r="M26" s="7" t="s">
        <v>18</v>
      </c>
      <c r="N26" s="7" t="s">
        <v>169</v>
      </c>
      <c r="O26" s="18" t="s">
        <v>170</v>
      </c>
      <c r="P26" s="18" t="s">
        <v>171</v>
      </c>
      <c r="Q26" s="18" t="s">
        <v>544</v>
      </c>
      <c r="R26" s="18" t="s">
        <v>545</v>
      </c>
      <c r="S26" s="3" t="s">
        <v>546</v>
      </c>
      <c r="T26" s="3" t="s">
        <v>547</v>
      </c>
      <c r="U26" s="7" t="s">
        <v>172</v>
      </c>
    </row>
    <row r="27" spans="1:21" ht="51" x14ac:dyDescent="0.2">
      <c r="A27" s="16" t="s">
        <v>173</v>
      </c>
      <c r="B27" s="7">
        <v>2</v>
      </c>
      <c r="C27" s="7" t="s">
        <v>24</v>
      </c>
      <c r="D27" s="1" t="s">
        <v>174</v>
      </c>
      <c r="E27" s="1" t="s">
        <v>175</v>
      </c>
      <c r="F27" s="1">
        <v>70</v>
      </c>
      <c r="G27" s="1">
        <v>69</v>
      </c>
      <c r="H27" s="1">
        <v>55</v>
      </c>
      <c r="I27" s="1">
        <v>15</v>
      </c>
      <c r="J27" s="17">
        <v>61.4</v>
      </c>
      <c r="K27" s="17">
        <v>30.4</v>
      </c>
      <c r="L27" s="1" t="s">
        <v>75</v>
      </c>
      <c r="M27" s="7" t="s">
        <v>18</v>
      </c>
      <c r="N27" s="7" t="s">
        <v>176</v>
      </c>
      <c r="O27" s="18" t="s">
        <v>177</v>
      </c>
      <c r="P27" s="18" t="s">
        <v>178</v>
      </c>
      <c r="Q27" s="18" t="s">
        <v>548</v>
      </c>
      <c r="R27" s="18" t="s">
        <v>549</v>
      </c>
      <c r="S27" s="21" t="s">
        <v>550</v>
      </c>
      <c r="T27" s="18" t="s">
        <v>512</v>
      </c>
      <c r="U27" s="7" t="s">
        <v>179</v>
      </c>
    </row>
    <row r="28" spans="1:21" ht="51" x14ac:dyDescent="0.2">
      <c r="A28" s="16" t="s">
        <v>180</v>
      </c>
      <c r="B28" s="7">
        <v>2</v>
      </c>
      <c r="C28" s="7" t="s">
        <v>24</v>
      </c>
      <c r="D28" s="1" t="s">
        <v>181</v>
      </c>
      <c r="E28" s="1" t="s">
        <v>182</v>
      </c>
      <c r="F28" s="1">
        <v>146</v>
      </c>
      <c r="G28" s="1">
        <v>144</v>
      </c>
      <c r="H28" s="1">
        <v>110</v>
      </c>
      <c r="I28" s="1">
        <v>34</v>
      </c>
      <c r="J28" s="17">
        <f>(40.3*72+40.6*72)/(72+72)</f>
        <v>40.450000000000003</v>
      </c>
      <c r="K28" s="17">
        <f>(29.5*72+29.9*72)/(72+72)</f>
        <v>29.699999999999996</v>
      </c>
      <c r="L28" s="1" t="s">
        <v>131</v>
      </c>
      <c r="M28" s="7" t="s">
        <v>18</v>
      </c>
      <c r="N28" s="7" t="s">
        <v>183</v>
      </c>
      <c r="O28" s="18" t="s">
        <v>87</v>
      </c>
      <c r="P28" s="18" t="s">
        <v>184</v>
      </c>
      <c r="Q28" s="18" t="s">
        <v>551</v>
      </c>
      <c r="R28" s="18" t="s">
        <v>552</v>
      </c>
      <c r="S28" s="3" t="s">
        <v>553</v>
      </c>
      <c r="T28" s="18" t="s">
        <v>512</v>
      </c>
      <c r="U28" s="7" t="s">
        <v>185</v>
      </c>
    </row>
    <row r="29" spans="1:21" ht="68" x14ac:dyDescent="0.2">
      <c r="A29" s="16" t="s">
        <v>186</v>
      </c>
      <c r="B29" s="7">
        <v>3</v>
      </c>
      <c r="C29" s="7" t="s">
        <v>146</v>
      </c>
      <c r="D29" s="1" t="s">
        <v>181</v>
      </c>
      <c r="E29" s="1" t="s">
        <v>187</v>
      </c>
      <c r="F29" s="1">
        <v>300</v>
      </c>
      <c r="G29" s="1" t="s">
        <v>18</v>
      </c>
      <c r="H29" s="1">
        <v>173</v>
      </c>
      <c r="I29" s="1">
        <v>127</v>
      </c>
      <c r="J29" s="17" t="s">
        <v>18</v>
      </c>
      <c r="K29" s="17" t="s">
        <v>18</v>
      </c>
      <c r="L29" s="1" t="s">
        <v>188</v>
      </c>
      <c r="M29" s="7" t="s">
        <v>189</v>
      </c>
      <c r="N29" s="7" t="s">
        <v>190</v>
      </c>
      <c r="O29" s="18" t="s">
        <v>127</v>
      </c>
      <c r="P29" s="18" t="s">
        <v>191</v>
      </c>
      <c r="Q29" s="18" t="s">
        <v>554</v>
      </c>
      <c r="R29" s="18" t="s">
        <v>555</v>
      </c>
      <c r="S29" s="18" t="s">
        <v>556</v>
      </c>
      <c r="T29" s="18" t="s">
        <v>557</v>
      </c>
      <c r="U29" s="7" t="s">
        <v>192</v>
      </c>
    </row>
    <row r="30" spans="1:21" ht="68" x14ac:dyDescent="0.2">
      <c r="A30" s="16" t="s">
        <v>193</v>
      </c>
      <c r="B30" s="7">
        <v>3</v>
      </c>
      <c r="C30" s="7" t="s">
        <v>52</v>
      </c>
      <c r="D30" s="1" t="s">
        <v>194</v>
      </c>
      <c r="E30" s="1" t="s">
        <v>195</v>
      </c>
      <c r="F30" s="1">
        <v>110</v>
      </c>
      <c r="G30" s="1">
        <f>49+53</f>
        <v>102</v>
      </c>
      <c r="H30" s="1" t="s">
        <v>18</v>
      </c>
      <c r="I30" s="1" t="s">
        <v>18</v>
      </c>
      <c r="J30" s="17" t="s">
        <v>18</v>
      </c>
      <c r="K30" s="17" t="s">
        <v>18</v>
      </c>
      <c r="L30" s="1" t="s">
        <v>196</v>
      </c>
      <c r="M30" s="7" t="s">
        <v>18</v>
      </c>
      <c r="N30" s="7" t="s">
        <v>197</v>
      </c>
      <c r="O30" s="18" t="s">
        <v>198</v>
      </c>
      <c r="P30" s="18" t="s">
        <v>36</v>
      </c>
      <c r="Q30" s="18" t="s">
        <v>198</v>
      </c>
      <c r="R30" s="18" t="s">
        <v>555</v>
      </c>
      <c r="S30" s="18" t="s">
        <v>558</v>
      </c>
      <c r="T30" s="18" t="s">
        <v>512</v>
      </c>
      <c r="U30" s="7" t="s">
        <v>199</v>
      </c>
    </row>
    <row r="31" spans="1:21" ht="85" x14ac:dyDescent="0.2">
      <c r="A31" s="16" t="s">
        <v>200</v>
      </c>
      <c r="B31" s="7">
        <v>3</v>
      </c>
      <c r="C31" s="7" t="s">
        <v>52</v>
      </c>
      <c r="D31" s="1" t="s">
        <v>201</v>
      </c>
      <c r="E31" s="1" t="s">
        <v>202</v>
      </c>
      <c r="F31" s="1">
        <f>339+346</f>
        <v>685</v>
      </c>
      <c r="G31" s="1">
        <f>317+319</f>
        <v>636</v>
      </c>
      <c r="H31" s="1">
        <f>F31-I31</f>
        <v>433</v>
      </c>
      <c r="I31" s="1">
        <f>124+128</f>
        <v>252</v>
      </c>
      <c r="J31" s="17" t="s">
        <v>18</v>
      </c>
      <c r="K31" s="17" t="s">
        <v>18</v>
      </c>
      <c r="L31" s="1" t="s">
        <v>17</v>
      </c>
      <c r="M31" s="7" t="s">
        <v>49</v>
      </c>
      <c r="N31" s="7" t="s">
        <v>203</v>
      </c>
      <c r="O31" s="18" t="s">
        <v>204</v>
      </c>
      <c r="P31" s="18" t="s">
        <v>36</v>
      </c>
      <c r="Q31" s="18" t="s">
        <v>559</v>
      </c>
      <c r="R31" s="18" t="s">
        <v>560</v>
      </c>
      <c r="S31" s="18" t="s">
        <v>561</v>
      </c>
      <c r="T31" s="18" t="s">
        <v>562</v>
      </c>
      <c r="U31" s="7" t="s">
        <v>205</v>
      </c>
    </row>
    <row r="32" spans="1:21" ht="51" x14ac:dyDescent="0.2">
      <c r="A32" s="16" t="s">
        <v>206</v>
      </c>
      <c r="B32" s="7">
        <v>2</v>
      </c>
      <c r="C32" s="7" t="s">
        <v>207</v>
      </c>
      <c r="D32" s="1" t="s">
        <v>208</v>
      </c>
      <c r="E32" s="1" t="s">
        <v>209</v>
      </c>
      <c r="F32" s="1">
        <v>55</v>
      </c>
      <c r="G32" s="1">
        <v>42</v>
      </c>
      <c r="H32" s="1">
        <v>33</v>
      </c>
      <c r="I32" s="1">
        <v>9</v>
      </c>
      <c r="J32" s="17">
        <f>(43.9*22+43*20)/(22+20)</f>
        <v>43.471428571428568</v>
      </c>
      <c r="K32" s="17">
        <f>(40.1*22+43.8*20)/(22+20)</f>
        <v>41.861904761904761</v>
      </c>
      <c r="L32" s="1" t="s">
        <v>68</v>
      </c>
      <c r="M32" s="7" t="s">
        <v>18</v>
      </c>
      <c r="N32" s="7" t="s">
        <v>210</v>
      </c>
      <c r="O32" s="18" t="s">
        <v>211</v>
      </c>
      <c r="P32" s="18" t="s">
        <v>36</v>
      </c>
      <c r="Q32" s="18" t="s">
        <v>563</v>
      </c>
      <c r="R32" s="18" t="s">
        <v>564</v>
      </c>
      <c r="S32" s="18" t="s">
        <v>565</v>
      </c>
      <c r="T32" s="18" t="s">
        <v>512</v>
      </c>
      <c r="U32" s="7" t="s">
        <v>212</v>
      </c>
    </row>
    <row r="33" spans="1:21" ht="85" x14ac:dyDescent="0.2">
      <c r="A33" s="16" t="s">
        <v>213</v>
      </c>
      <c r="B33" s="7">
        <v>2</v>
      </c>
      <c r="C33" s="7" t="s">
        <v>24</v>
      </c>
      <c r="D33" s="1" t="s">
        <v>214</v>
      </c>
      <c r="E33" s="1" t="s">
        <v>215</v>
      </c>
      <c r="F33" s="1">
        <v>56</v>
      </c>
      <c r="G33" s="1">
        <v>44</v>
      </c>
      <c r="H33" s="1">
        <v>44</v>
      </c>
      <c r="I33" s="1">
        <v>0</v>
      </c>
      <c r="J33" s="17">
        <f>(49.2*25+48.7*19)/(25+19)</f>
        <v>48.984090909090916</v>
      </c>
      <c r="K33" s="17">
        <f>(36.5*25+34.8*19)/(25+19)</f>
        <v>35.765909090909084</v>
      </c>
      <c r="L33" s="1" t="s">
        <v>17</v>
      </c>
      <c r="M33" s="7" t="s">
        <v>18</v>
      </c>
      <c r="N33" s="7" t="s">
        <v>216</v>
      </c>
      <c r="O33" s="18" t="s">
        <v>204</v>
      </c>
      <c r="P33" s="18" t="s">
        <v>36</v>
      </c>
      <c r="Q33" s="18" t="s">
        <v>566</v>
      </c>
      <c r="R33" s="18" t="s">
        <v>567</v>
      </c>
      <c r="S33" s="18" t="s">
        <v>568</v>
      </c>
      <c r="T33" s="18" t="s">
        <v>512</v>
      </c>
      <c r="U33" s="7" t="s">
        <v>217</v>
      </c>
    </row>
    <row r="34" spans="1:21" ht="119" x14ac:dyDescent="0.2">
      <c r="A34" s="16" t="s">
        <v>460</v>
      </c>
      <c r="B34" s="7">
        <v>3</v>
      </c>
      <c r="C34" s="7" t="s">
        <v>24</v>
      </c>
      <c r="D34" s="1" t="s">
        <v>18</v>
      </c>
      <c r="E34" s="1" t="s">
        <v>218</v>
      </c>
      <c r="F34" s="1">
        <v>30</v>
      </c>
      <c r="G34" s="1">
        <v>30</v>
      </c>
      <c r="H34" s="1" t="s">
        <v>18</v>
      </c>
      <c r="I34" s="1" t="s">
        <v>18</v>
      </c>
      <c r="J34" s="17">
        <f>(44.5*10+42.2*10+43*10)/(10+10+10)</f>
        <v>43.233333333333334</v>
      </c>
      <c r="K34" s="17">
        <f>(34.5*10+35.3*10+38.6*10)/(10+10+10)</f>
        <v>36.133333333333333</v>
      </c>
      <c r="L34" s="1" t="s">
        <v>17</v>
      </c>
      <c r="M34" s="7" t="s">
        <v>18</v>
      </c>
      <c r="N34" s="7" t="s">
        <v>219</v>
      </c>
      <c r="O34" s="18" t="s">
        <v>220</v>
      </c>
      <c r="P34" s="18" t="s">
        <v>36</v>
      </c>
      <c r="Q34" s="18" t="s">
        <v>569</v>
      </c>
      <c r="R34" s="18" t="s">
        <v>567</v>
      </c>
      <c r="S34" s="18" t="s">
        <v>570</v>
      </c>
      <c r="T34" s="18" t="s">
        <v>512</v>
      </c>
      <c r="U34" s="7" t="s">
        <v>459</v>
      </c>
    </row>
    <row r="35" spans="1:21" ht="153" x14ac:dyDescent="0.2">
      <c r="A35" s="16" t="s">
        <v>221</v>
      </c>
      <c r="B35" s="7">
        <v>3</v>
      </c>
      <c r="C35" s="7" t="s">
        <v>24</v>
      </c>
      <c r="D35" s="1" t="s">
        <v>222</v>
      </c>
      <c r="E35" s="1" t="s">
        <v>223</v>
      </c>
      <c r="F35" s="1">
        <v>68</v>
      </c>
      <c r="G35" s="1">
        <v>62</v>
      </c>
      <c r="H35" s="1">
        <v>60</v>
      </c>
      <c r="I35" s="1">
        <v>8</v>
      </c>
      <c r="J35" s="17">
        <f>(55.9*34+50.2*34)/(34+34)</f>
        <v>53.050000000000004</v>
      </c>
      <c r="K35" s="17">
        <f>(32.1*34+33.9*34)/(34+34)</f>
        <v>33</v>
      </c>
      <c r="L35" s="1" t="s">
        <v>224</v>
      </c>
      <c r="M35" s="7" t="s">
        <v>18</v>
      </c>
      <c r="N35" s="7" t="s">
        <v>225</v>
      </c>
      <c r="O35" s="18" t="s">
        <v>226</v>
      </c>
      <c r="P35" s="18" t="s">
        <v>227</v>
      </c>
      <c r="Q35" s="18" t="s">
        <v>571</v>
      </c>
      <c r="R35" s="18" t="s">
        <v>567</v>
      </c>
      <c r="S35" s="18" t="s">
        <v>572</v>
      </c>
      <c r="T35" s="18" t="s">
        <v>512</v>
      </c>
      <c r="U35" s="7" t="s">
        <v>228</v>
      </c>
    </row>
    <row r="36" spans="1:21" ht="102" x14ac:dyDescent="0.2">
      <c r="A36" s="16" t="s">
        <v>229</v>
      </c>
      <c r="B36" s="7">
        <v>4</v>
      </c>
      <c r="C36" s="7" t="s">
        <v>24</v>
      </c>
      <c r="D36" s="1" t="s">
        <v>230</v>
      </c>
      <c r="E36" s="1" t="s">
        <v>231</v>
      </c>
      <c r="F36" s="1">
        <v>92</v>
      </c>
      <c r="G36" s="1">
        <v>92</v>
      </c>
      <c r="H36" s="1">
        <v>64</v>
      </c>
      <c r="I36" s="1">
        <v>28</v>
      </c>
      <c r="J36" s="17">
        <f>(71.9*22+72.4*20+71.9*25+71.5*25)/(22+20+25+25)</f>
        <v>71.900000000000006</v>
      </c>
      <c r="K36" s="17" t="s">
        <v>18</v>
      </c>
      <c r="L36" s="1" t="s">
        <v>61</v>
      </c>
      <c r="M36" s="7" t="s">
        <v>42</v>
      </c>
      <c r="N36" s="7" t="s">
        <v>232</v>
      </c>
      <c r="O36" s="18" t="s">
        <v>233</v>
      </c>
      <c r="P36" s="18" t="s">
        <v>234</v>
      </c>
      <c r="Q36" s="18" t="s">
        <v>573</v>
      </c>
      <c r="R36" s="18" t="s">
        <v>574</v>
      </c>
      <c r="S36" s="18" t="s">
        <v>575</v>
      </c>
      <c r="T36" s="18" t="s">
        <v>576</v>
      </c>
      <c r="U36" s="7" t="s">
        <v>235</v>
      </c>
    </row>
    <row r="37" spans="1:21" ht="68" x14ac:dyDescent="0.2">
      <c r="A37" s="16" t="s">
        <v>236</v>
      </c>
      <c r="B37" s="7">
        <v>2</v>
      </c>
      <c r="C37" s="7" t="s">
        <v>24</v>
      </c>
      <c r="D37" s="1" t="s">
        <v>237</v>
      </c>
      <c r="E37" s="1" t="s">
        <v>238</v>
      </c>
      <c r="F37" s="1">
        <v>60</v>
      </c>
      <c r="G37" s="1">
        <v>56</v>
      </c>
      <c r="H37" s="1">
        <v>42</v>
      </c>
      <c r="I37" s="1">
        <v>14</v>
      </c>
      <c r="J37" s="17">
        <v>65.400000000000006</v>
      </c>
      <c r="K37" s="17" t="s">
        <v>18</v>
      </c>
      <c r="L37" s="1" t="s">
        <v>60</v>
      </c>
      <c r="M37" s="7" t="s">
        <v>18</v>
      </c>
      <c r="N37" s="7" t="s">
        <v>239</v>
      </c>
      <c r="O37" s="18" t="s">
        <v>240</v>
      </c>
      <c r="P37" s="18" t="s">
        <v>241</v>
      </c>
      <c r="Q37" s="18" t="s">
        <v>577</v>
      </c>
      <c r="R37" s="18" t="s">
        <v>578</v>
      </c>
      <c r="S37" s="18" t="s">
        <v>579</v>
      </c>
      <c r="T37" s="18" t="s">
        <v>580</v>
      </c>
      <c r="U37" s="7" t="s">
        <v>242</v>
      </c>
    </row>
    <row r="38" spans="1:21" ht="102" x14ac:dyDescent="0.2">
      <c r="A38" s="16" t="s">
        <v>243</v>
      </c>
      <c r="B38" s="7">
        <v>3</v>
      </c>
      <c r="C38" s="7" t="s">
        <v>24</v>
      </c>
      <c r="D38" s="1" t="s">
        <v>244</v>
      </c>
      <c r="E38" s="1" t="s">
        <v>245</v>
      </c>
      <c r="F38" s="1">
        <v>32</v>
      </c>
      <c r="G38" s="1">
        <v>32</v>
      </c>
      <c r="H38" s="1">
        <v>17</v>
      </c>
      <c r="I38" s="1">
        <v>15</v>
      </c>
      <c r="J38" s="17">
        <f>(58*16+55*16)/(16+16)</f>
        <v>56.5</v>
      </c>
      <c r="K38" s="17">
        <f>(30*16+30*16)/(16+16)</f>
        <v>30</v>
      </c>
      <c r="L38" s="1" t="s">
        <v>55</v>
      </c>
      <c r="M38" s="7" t="s">
        <v>18</v>
      </c>
      <c r="N38" s="7" t="s">
        <v>246</v>
      </c>
      <c r="O38" s="18" t="s">
        <v>247</v>
      </c>
      <c r="P38" s="18" t="s">
        <v>248</v>
      </c>
      <c r="Q38" s="18" t="s">
        <v>581</v>
      </c>
      <c r="R38" s="18" t="s">
        <v>467</v>
      </c>
      <c r="S38" s="18" t="s">
        <v>582</v>
      </c>
      <c r="T38" s="18" t="s">
        <v>583</v>
      </c>
      <c r="U38" s="7" t="s">
        <v>249</v>
      </c>
    </row>
    <row r="39" spans="1:21" ht="119" x14ac:dyDescent="0.2">
      <c r="A39" s="16" t="s">
        <v>250</v>
      </c>
      <c r="B39" s="7">
        <v>2</v>
      </c>
      <c r="C39" s="7" t="s">
        <v>24</v>
      </c>
      <c r="D39" s="1" t="s">
        <v>251</v>
      </c>
      <c r="E39" s="1" t="s">
        <v>252</v>
      </c>
      <c r="F39" s="1">
        <v>30</v>
      </c>
      <c r="G39" s="1">
        <v>25</v>
      </c>
      <c r="H39" s="1">
        <v>20</v>
      </c>
      <c r="I39" s="1">
        <v>5</v>
      </c>
      <c r="J39" s="17">
        <v>72.92</v>
      </c>
      <c r="K39" s="17" t="s">
        <v>18</v>
      </c>
      <c r="L39" s="1" t="s">
        <v>75</v>
      </c>
      <c r="M39" s="7" t="s">
        <v>18</v>
      </c>
      <c r="N39" s="7" t="s">
        <v>253</v>
      </c>
      <c r="O39" s="18" t="s">
        <v>254</v>
      </c>
      <c r="P39" s="18" t="s">
        <v>36</v>
      </c>
      <c r="Q39" s="18" t="s">
        <v>584</v>
      </c>
      <c r="R39" s="18" t="s">
        <v>467</v>
      </c>
      <c r="S39" s="18" t="s">
        <v>585</v>
      </c>
      <c r="T39" s="18" t="s">
        <v>512</v>
      </c>
      <c r="U39" s="7" t="s">
        <v>255</v>
      </c>
    </row>
    <row r="40" spans="1:21" ht="51" x14ac:dyDescent="0.2">
      <c r="A40" s="16" t="s">
        <v>256</v>
      </c>
      <c r="B40" s="7">
        <v>2</v>
      </c>
      <c r="C40" s="7" t="s">
        <v>257</v>
      </c>
      <c r="D40" s="1" t="s">
        <v>181</v>
      </c>
      <c r="E40" s="1" t="s">
        <v>258</v>
      </c>
      <c r="F40" s="1">
        <v>56</v>
      </c>
      <c r="G40" s="1">
        <v>56</v>
      </c>
      <c r="H40" s="1">
        <v>56</v>
      </c>
      <c r="I40" s="1">
        <v>0</v>
      </c>
      <c r="J40" s="17">
        <v>20.63</v>
      </c>
      <c r="K40" s="17" t="s">
        <v>18</v>
      </c>
      <c r="L40" s="1" t="s">
        <v>259</v>
      </c>
      <c r="M40" s="7" t="s">
        <v>18</v>
      </c>
      <c r="N40" s="7" t="s">
        <v>260</v>
      </c>
      <c r="O40" s="18" t="s">
        <v>261</v>
      </c>
      <c r="P40" s="18" t="s">
        <v>36</v>
      </c>
      <c r="Q40" s="18" t="s">
        <v>586</v>
      </c>
      <c r="R40" s="18" t="s">
        <v>587</v>
      </c>
      <c r="S40" s="18" t="s">
        <v>588</v>
      </c>
      <c r="T40" s="18" t="s">
        <v>512</v>
      </c>
      <c r="U40" s="7" t="s">
        <v>262</v>
      </c>
    </row>
    <row r="41" spans="1:21" ht="85" x14ac:dyDescent="0.2">
      <c r="A41" s="16" t="s">
        <v>263</v>
      </c>
      <c r="B41" s="7">
        <v>2</v>
      </c>
      <c r="C41" s="7" t="s">
        <v>24</v>
      </c>
      <c r="D41" s="1" t="s">
        <v>264</v>
      </c>
      <c r="E41" s="1" t="s">
        <v>265</v>
      </c>
      <c r="F41" s="1">
        <v>63</v>
      </c>
      <c r="G41" s="1">
        <v>63</v>
      </c>
      <c r="H41" s="1">
        <v>56</v>
      </c>
      <c r="I41" s="1">
        <v>7</v>
      </c>
      <c r="J41" s="17">
        <v>48.2</v>
      </c>
      <c r="K41" s="17">
        <v>31.1</v>
      </c>
      <c r="L41" s="1" t="s">
        <v>17</v>
      </c>
      <c r="M41" s="7" t="s">
        <v>18</v>
      </c>
      <c r="N41" s="7" t="s">
        <v>266</v>
      </c>
      <c r="O41" s="18" t="s">
        <v>267</v>
      </c>
      <c r="P41" s="18" t="s">
        <v>36</v>
      </c>
      <c r="Q41" s="18" t="s">
        <v>510</v>
      </c>
      <c r="R41" s="18" t="s">
        <v>511</v>
      </c>
      <c r="S41" s="3" t="s">
        <v>541</v>
      </c>
      <c r="T41" s="3" t="s">
        <v>512</v>
      </c>
      <c r="U41" s="7" t="s">
        <v>268</v>
      </c>
    </row>
    <row r="42" spans="1:21" ht="51" x14ac:dyDescent="0.2">
      <c r="A42" s="16" t="s">
        <v>269</v>
      </c>
      <c r="B42" s="7">
        <v>3</v>
      </c>
      <c r="C42" s="7" t="s">
        <v>160</v>
      </c>
      <c r="D42" s="1" t="s">
        <v>270</v>
      </c>
      <c r="E42" s="1" t="s">
        <v>271</v>
      </c>
      <c r="F42" s="1">
        <v>107</v>
      </c>
      <c r="G42" s="1">
        <v>107</v>
      </c>
      <c r="H42" s="1">
        <v>0</v>
      </c>
      <c r="I42" s="1">
        <v>107</v>
      </c>
      <c r="J42" s="17">
        <f>(48*54+46.5*53)/(54+53)</f>
        <v>47.257009345794394</v>
      </c>
      <c r="K42" s="17">
        <f>(32.4*54+32.8*53)/(54+53)</f>
        <v>32.598130841121495</v>
      </c>
      <c r="L42" s="1" t="s">
        <v>272</v>
      </c>
      <c r="M42" s="7" t="s">
        <v>273</v>
      </c>
      <c r="N42" s="7" t="s">
        <v>274</v>
      </c>
      <c r="O42" s="18" t="s">
        <v>275</v>
      </c>
      <c r="P42" s="18" t="s">
        <v>276</v>
      </c>
      <c r="Q42" s="3" t="s">
        <v>513</v>
      </c>
      <c r="R42" s="3" t="s">
        <v>511</v>
      </c>
      <c r="S42" s="3" t="s">
        <v>514</v>
      </c>
      <c r="T42" s="3" t="s">
        <v>515</v>
      </c>
      <c r="U42" s="7" t="s">
        <v>277</v>
      </c>
    </row>
    <row r="43" spans="1:21" ht="119" x14ac:dyDescent="0.2">
      <c r="A43" s="16" t="s">
        <v>278</v>
      </c>
      <c r="B43" s="7">
        <v>2</v>
      </c>
      <c r="C43" s="7" t="s">
        <v>279</v>
      </c>
      <c r="D43" s="1" t="s">
        <v>280</v>
      </c>
      <c r="E43" s="1" t="s">
        <v>281</v>
      </c>
      <c r="F43" s="1">
        <v>238</v>
      </c>
      <c r="G43" s="1">
        <f>145+81</f>
        <v>226</v>
      </c>
      <c r="H43" s="1">
        <v>15</v>
      </c>
      <c r="I43" s="1">
        <v>223</v>
      </c>
      <c r="J43" s="17">
        <v>66.8</v>
      </c>
      <c r="K43" s="17" t="s">
        <v>18</v>
      </c>
      <c r="L43" s="1" t="s">
        <v>282</v>
      </c>
      <c r="M43" s="7" t="s">
        <v>283</v>
      </c>
      <c r="N43" s="7" t="s">
        <v>284</v>
      </c>
      <c r="O43" s="18" t="s">
        <v>285</v>
      </c>
      <c r="P43" s="18" t="s">
        <v>286</v>
      </c>
      <c r="Q43" s="18" t="s">
        <v>516</v>
      </c>
      <c r="R43" s="18" t="s">
        <v>511</v>
      </c>
      <c r="S43" s="3" t="s">
        <v>517</v>
      </c>
      <c r="T43" s="3" t="s">
        <v>512</v>
      </c>
      <c r="U43" s="7" t="s">
        <v>287</v>
      </c>
    </row>
    <row r="44" spans="1:21" ht="102" x14ac:dyDescent="0.2">
      <c r="A44" s="16" t="s">
        <v>288</v>
      </c>
      <c r="B44" s="7">
        <v>3</v>
      </c>
      <c r="C44" s="7" t="s">
        <v>289</v>
      </c>
      <c r="D44" s="1" t="s">
        <v>290</v>
      </c>
      <c r="E44" s="1" t="s">
        <v>291</v>
      </c>
      <c r="F44" s="1">
        <v>125</v>
      </c>
      <c r="G44" s="1">
        <v>125</v>
      </c>
      <c r="H44" s="1">
        <v>92</v>
      </c>
      <c r="I44" s="1">
        <v>33</v>
      </c>
      <c r="J44" s="17">
        <f>(51.7*62+50.7 *63)/(62+63)</f>
        <v>51.195999999999998</v>
      </c>
      <c r="K44" s="17">
        <f>(29.2*62+29*63)/(62+63)</f>
        <v>29.099199999999996</v>
      </c>
      <c r="L44" s="1" t="s">
        <v>273</v>
      </c>
      <c r="M44" s="7" t="s">
        <v>18</v>
      </c>
      <c r="N44" s="7" t="s">
        <v>292</v>
      </c>
      <c r="O44" s="18" t="s">
        <v>293</v>
      </c>
      <c r="P44" s="18" t="s">
        <v>294</v>
      </c>
      <c r="Q44" s="18" t="s">
        <v>518</v>
      </c>
      <c r="R44" s="18" t="s">
        <v>511</v>
      </c>
      <c r="S44" s="3" t="s">
        <v>519</v>
      </c>
      <c r="T44" s="3" t="s">
        <v>512</v>
      </c>
      <c r="U44" s="7" t="s">
        <v>295</v>
      </c>
    </row>
    <row r="45" spans="1:21" ht="153" x14ac:dyDescent="0.2">
      <c r="A45" s="16" t="s">
        <v>296</v>
      </c>
      <c r="B45" s="7">
        <v>4</v>
      </c>
      <c r="C45" s="7" t="s">
        <v>24</v>
      </c>
      <c r="D45" s="1" t="s">
        <v>297</v>
      </c>
      <c r="E45" s="1" t="s">
        <v>298</v>
      </c>
      <c r="F45" s="1">
        <v>304</v>
      </c>
      <c r="G45" s="1">
        <v>304</v>
      </c>
      <c r="H45" s="1">
        <v>235</v>
      </c>
      <c r="I45" s="1">
        <v>69</v>
      </c>
      <c r="J45" s="17">
        <f>(43.2*68+39.3*80+38.7*76+41.2*80)/(68+80+76+80)</f>
        <v>40.522368421052633</v>
      </c>
      <c r="K45" s="17">
        <f>(29*68+29.9*80+28.1*76+29.7*80)/(68+80+76+80)</f>
        <v>29.196052631578947</v>
      </c>
      <c r="L45" s="1" t="s">
        <v>299</v>
      </c>
      <c r="M45" s="7" t="s">
        <v>299</v>
      </c>
      <c r="N45" s="7" t="s">
        <v>300</v>
      </c>
      <c r="O45" s="18" t="s">
        <v>301</v>
      </c>
      <c r="P45" s="18" t="s">
        <v>302</v>
      </c>
      <c r="Q45" s="18" t="s">
        <v>520</v>
      </c>
      <c r="R45" s="3" t="s">
        <v>521</v>
      </c>
      <c r="S45" s="3" t="s">
        <v>522</v>
      </c>
      <c r="T45" s="18" t="s">
        <v>523</v>
      </c>
      <c r="U45" s="7" t="s">
        <v>303</v>
      </c>
    </row>
    <row r="46" spans="1:21" ht="85" x14ac:dyDescent="0.2">
      <c r="A46" s="16" t="s">
        <v>304</v>
      </c>
      <c r="B46" s="7">
        <v>2</v>
      </c>
      <c r="C46" s="7" t="s">
        <v>24</v>
      </c>
      <c r="D46" s="1" t="s">
        <v>305</v>
      </c>
      <c r="E46" s="1" t="s">
        <v>306</v>
      </c>
      <c r="F46" s="1">
        <v>206</v>
      </c>
      <c r="G46" s="1">
        <v>200</v>
      </c>
      <c r="H46" s="1">
        <f>60+52</f>
        <v>112</v>
      </c>
      <c r="I46" s="1">
        <v>88</v>
      </c>
      <c r="J46" s="17">
        <f>(56.2*102+55.7*98)/(102+98)</f>
        <v>55.954999999999998</v>
      </c>
      <c r="K46" s="17">
        <f>(26.9*102+27.2*98)/(102+98)</f>
        <v>27.046999999999997</v>
      </c>
      <c r="L46" s="1" t="s">
        <v>307</v>
      </c>
      <c r="M46" s="7" t="s">
        <v>308</v>
      </c>
      <c r="N46" s="7" t="s">
        <v>309</v>
      </c>
      <c r="O46" s="18" t="s">
        <v>310</v>
      </c>
      <c r="P46" s="18" t="s">
        <v>286</v>
      </c>
      <c r="Q46" s="18" t="s">
        <v>524</v>
      </c>
      <c r="R46" s="18" t="s">
        <v>511</v>
      </c>
      <c r="S46" s="3" t="s">
        <v>525</v>
      </c>
      <c r="T46" s="3" t="s">
        <v>526</v>
      </c>
      <c r="U46" s="7" t="s">
        <v>311</v>
      </c>
    </row>
    <row r="47" spans="1:21" ht="68" x14ac:dyDescent="0.2">
      <c r="A47" s="16" t="s">
        <v>312</v>
      </c>
      <c r="B47" s="7">
        <v>4</v>
      </c>
      <c r="C47" s="7" t="s">
        <v>52</v>
      </c>
      <c r="D47" s="1" t="s">
        <v>313</v>
      </c>
      <c r="E47" s="1" t="s">
        <v>314</v>
      </c>
      <c r="F47" s="1">
        <v>154</v>
      </c>
      <c r="G47" s="1">
        <v>89</v>
      </c>
      <c r="H47" s="1">
        <v>123</v>
      </c>
      <c r="I47" s="1">
        <v>31</v>
      </c>
      <c r="J47" s="17">
        <f>(53.3*74+51.3*80)/(74+80)</f>
        <v>52.261038961038963</v>
      </c>
      <c r="K47" s="17" t="s">
        <v>18</v>
      </c>
      <c r="L47" s="1" t="s">
        <v>315</v>
      </c>
      <c r="M47" s="7" t="s">
        <v>18</v>
      </c>
      <c r="N47" s="7" t="s">
        <v>316</v>
      </c>
      <c r="O47" s="18" t="s">
        <v>317</v>
      </c>
      <c r="P47" s="18" t="s">
        <v>286</v>
      </c>
      <c r="Q47" s="18" t="s">
        <v>527</v>
      </c>
      <c r="R47" s="18" t="s">
        <v>466</v>
      </c>
      <c r="S47" s="3" t="s">
        <v>528</v>
      </c>
      <c r="T47" s="18" t="s">
        <v>512</v>
      </c>
      <c r="U47" s="7" t="s">
        <v>318</v>
      </c>
    </row>
    <row r="48" spans="1:21" ht="85" x14ac:dyDescent="0.2">
      <c r="A48" s="16" t="s">
        <v>319</v>
      </c>
      <c r="B48" s="7">
        <v>2</v>
      </c>
      <c r="C48" s="7" t="s">
        <v>24</v>
      </c>
      <c r="D48" s="1" t="s">
        <v>320</v>
      </c>
      <c r="E48" s="1" t="s">
        <v>321</v>
      </c>
      <c r="F48" s="1">
        <v>45</v>
      </c>
      <c r="G48" s="1">
        <v>45</v>
      </c>
      <c r="H48" s="1">
        <v>38</v>
      </c>
      <c r="I48" s="1">
        <v>7</v>
      </c>
      <c r="J48" s="17">
        <f>(63.2*24+63.2*21)/(24+21)</f>
        <v>63.2</v>
      </c>
      <c r="K48" s="17" t="s">
        <v>18</v>
      </c>
      <c r="L48" s="1" t="s">
        <v>17</v>
      </c>
      <c r="M48" s="7" t="s">
        <v>42</v>
      </c>
      <c r="N48" s="7" t="s">
        <v>322</v>
      </c>
      <c r="O48" s="18" t="s">
        <v>323</v>
      </c>
      <c r="P48" s="18" t="s">
        <v>286</v>
      </c>
      <c r="Q48" s="3" t="s">
        <v>529</v>
      </c>
      <c r="R48" s="18" t="s">
        <v>466</v>
      </c>
      <c r="S48" s="3" t="s">
        <v>512</v>
      </c>
      <c r="T48" s="3" t="s">
        <v>530</v>
      </c>
      <c r="U48" s="7" t="s">
        <v>324</v>
      </c>
    </row>
    <row r="49" spans="1:21" ht="34" x14ac:dyDescent="0.2">
      <c r="A49" s="16" t="s">
        <v>325</v>
      </c>
      <c r="B49" s="7">
        <v>2</v>
      </c>
      <c r="C49" s="7" t="s">
        <v>326</v>
      </c>
      <c r="D49" s="1" t="s">
        <v>327</v>
      </c>
      <c r="E49" s="1" t="s">
        <v>328</v>
      </c>
      <c r="F49" s="1">
        <v>287</v>
      </c>
      <c r="G49" s="1">
        <f>65+68</f>
        <v>133</v>
      </c>
      <c r="H49" s="1">
        <f>39+49</f>
        <v>88</v>
      </c>
      <c r="I49" s="1">
        <v>105</v>
      </c>
      <c r="J49" s="17">
        <f>(61.4*97+62.3*96)/(97+96)</f>
        <v>61.847668393782378</v>
      </c>
      <c r="K49" s="17">
        <f>(30.5*97+29.8*96)/(97+96)</f>
        <v>30.151813471502592</v>
      </c>
      <c r="L49" s="1" t="s">
        <v>329</v>
      </c>
      <c r="M49" s="7" t="s">
        <v>330</v>
      </c>
      <c r="N49" s="7" t="s">
        <v>331</v>
      </c>
      <c r="O49" s="18" t="s">
        <v>332</v>
      </c>
      <c r="P49" s="18" t="s">
        <v>333</v>
      </c>
      <c r="Q49" s="18" t="s">
        <v>465</v>
      </c>
      <c r="R49" s="3" t="s">
        <v>531</v>
      </c>
      <c r="S49" s="3" t="s">
        <v>542</v>
      </c>
      <c r="T49" s="3" t="s">
        <v>512</v>
      </c>
      <c r="U49" s="7" t="s">
        <v>334</v>
      </c>
    </row>
    <row r="50" spans="1:21" ht="68" x14ac:dyDescent="0.2">
      <c r="A50" s="16" t="s">
        <v>335</v>
      </c>
      <c r="B50" s="7">
        <v>3</v>
      </c>
      <c r="C50" s="7" t="s">
        <v>24</v>
      </c>
      <c r="D50" s="1" t="s">
        <v>336</v>
      </c>
      <c r="E50" s="1" t="s">
        <v>337</v>
      </c>
      <c r="F50" s="1">
        <v>138</v>
      </c>
      <c r="G50" s="1">
        <v>101</v>
      </c>
      <c r="H50" s="1">
        <v>105</v>
      </c>
      <c r="I50" s="1">
        <v>33</v>
      </c>
      <c r="J50" s="17">
        <f>(44.6*48+47.4*44+43*46)/(48+44+46)</f>
        <v>44.959420289855068</v>
      </c>
      <c r="K50" s="17">
        <f>(37.8*48+36.5*44+37.7*46)/(48+44+46)</f>
        <v>37.352173913043472</v>
      </c>
      <c r="L50" s="1" t="s">
        <v>338</v>
      </c>
      <c r="M50" s="7" t="s">
        <v>18</v>
      </c>
      <c r="N50" s="7" t="s">
        <v>339</v>
      </c>
      <c r="O50" s="18" t="s">
        <v>87</v>
      </c>
      <c r="P50" s="18" t="s">
        <v>191</v>
      </c>
      <c r="Q50" s="18" t="s">
        <v>486</v>
      </c>
      <c r="R50" s="18" t="s">
        <v>466</v>
      </c>
      <c r="S50" s="3" t="s">
        <v>532</v>
      </c>
      <c r="T50" s="18" t="s">
        <v>512</v>
      </c>
      <c r="U50" s="7" t="s">
        <v>340</v>
      </c>
    </row>
    <row r="51" spans="1:21" ht="85" x14ac:dyDescent="0.2">
      <c r="A51" s="16" t="s">
        <v>341</v>
      </c>
      <c r="B51" s="7">
        <v>3</v>
      </c>
      <c r="C51" s="7" t="s">
        <v>52</v>
      </c>
      <c r="D51" s="1" t="s">
        <v>342</v>
      </c>
      <c r="E51" s="1" t="s">
        <v>343</v>
      </c>
      <c r="F51" s="1">
        <v>281</v>
      </c>
      <c r="G51" s="1">
        <v>263</v>
      </c>
      <c r="H51" s="1">
        <v>213</v>
      </c>
      <c r="I51" s="1">
        <f>20+21+27</f>
        <v>68</v>
      </c>
      <c r="J51" s="17">
        <f>(23.96*89+21.98*86+23.09*106)/(89+86+106)</f>
        <v>23.025836298932386</v>
      </c>
      <c r="K51" s="17" t="s">
        <v>18</v>
      </c>
      <c r="L51" s="1" t="s">
        <v>60</v>
      </c>
      <c r="M51" s="7" t="s">
        <v>18</v>
      </c>
      <c r="N51" s="7" t="s">
        <v>344</v>
      </c>
      <c r="O51" s="18" t="s">
        <v>345</v>
      </c>
      <c r="P51" s="18" t="s">
        <v>36</v>
      </c>
      <c r="Q51" s="18" t="s">
        <v>533</v>
      </c>
      <c r="R51" s="18" t="s">
        <v>466</v>
      </c>
      <c r="S51" s="3" t="s">
        <v>534</v>
      </c>
      <c r="T51" s="18" t="s">
        <v>512</v>
      </c>
      <c r="U51" s="7" t="s">
        <v>346</v>
      </c>
    </row>
    <row r="52" spans="1:21" ht="51" x14ac:dyDescent="0.2">
      <c r="A52" s="16" t="s">
        <v>347</v>
      </c>
      <c r="B52" s="7">
        <v>2</v>
      </c>
      <c r="C52" s="7" t="s">
        <v>24</v>
      </c>
      <c r="D52" s="1" t="s">
        <v>181</v>
      </c>
      <c r="E52" s="1" t="s">
        <v>348</v>
      </c>
      <c r="F52" s="1">
        <v>62</v>
      </c>
      <c r="G52" s="1">
        <f>11+15</f>
        <v>26</v>
      </c>
      <c r="H52" s="1" t="s">
        <v>18</v>
      </c>
      <c r="I52" s="1" t="s">
        <v>18</v>
      </c>
      <c r="J52" s="17">
        <v>44.48</v>
      </c>
      <c r="K52" s="17">
        <v>29.46</v>
      </c>
      <c r="L52" s="1" t="s">
        <v>349</v>
      </c>
      <c r="M52" s="7" t="s">
        <v>350</v>
      </c>
      <c r="N52" s="7" t="s">
        <v>351</v>
      </c>
      <c r="O52" s="18" t="s">
        <v>352</v>
      </c>
      <c r="P52" s="18" t="s">
        <v>353</v>
      </c>
      <c r="Q52" s="18" t="s">
        <v>352</v>
      </c>
      <c r="R52" s="18" t="s">
        <v>466</v>
      </c>
      <c r="S52" s="18" t="s">
        <v>535</v>
      </c>
      <c r="T52" s="18" t="s">
        <v>536</v>
      </c>
      <c r="U52" s="7" t="s">
        <v>354</v>
      </c>
    </row>
    <row r="53" spans="1:21" ht="68" x14ac:dyDescent="0.2">
      <c r="A53" s="16" t="s">
        <v>355</v>
      </c>
      <c r="B53" s="7">
        <v>2</v>
      </c>
      <c r="C53" s="7" t="s">
        <v>24</v>
      </c>
      <c r="D53" s="1" t="s">
        <v>181</v>
      </c>
      <c r="E53" s="1" t="s">
        <v>356</v>
      </c>
      <c r="F53" s="1">
        <v>324</v>
      </c>
      <c r="G53" s="1">
        <v>247</v>
      </c>
      <c r="H53" s="1">
        <v>211</v>
      </c>
      <c r="I53" s="1">
        <v>113</v>
      </c>
      <c r="J53" s="17">
        <v>52</v>
      </c>
      <c r="K53" s="17">
        <v>33.200000000000003</v>
      </c>
      <c r="L53" s="1" t="s">
        <v>357</v>
      </c>
      <c r="M53" s="7" t="s">
        <v>18</v>
      </c>
      <c r="N53" s="7" t="s">
        <v>358</v>
      </c>
      <c r="O53" s="18" t="s">
        <v>359</v>
      </c>
      <c r="P53" s="18" t="s">
        <v>360</v>
      </c>
      <c r="Q53" s="18" t="s">
        <v>543</v>
      </c>
      <c r="R53" s="18" t="s">
        <v>511</v>
      </c>
      <c r="S53" s="18" t="s">
        <v>537</v>
      </c>
      <c r="T53" s="18" t="s">
        <v>18</v>
      </c>
      <c r="U53" s="7" t="s">
        <v>361</v>
      </c>
    </row>
    <row r="54" spans="1:21" ht="68" x14ac:dyDescent="0.2">
      <c r="A54" s="16" t="s">
        <v>362</v>
      </c>
      <c r="B54" s="7">
        <v>3</v>
      </c>
      <c r="C54" s="7" t="s">
        <v>24</v>
      </c>
      <c r="D54" s="1" t="s">
        <v>363</v>
      </c>
      <c r="E54" s="1" t="s">
        <v>454</v>
      </c>
      <c r="F54" s="1">
        <v>170</v>
      </c>
      <c r="G54" s="1">
        <v>121</v>
      </c>
      <c r="H54" s="1">
        <v>0</v>
      </c>
      <c r="I54" s="1">
        <v>170</v>
      </c>
      <c r="J54" s="17">
        <f>(58*86+55.9*84)/(86+84)</f>
        <v>56.962352941176462</v>
      </c>
      <c r="K54" s="17" t="s">
        <v>18</v>
      </c>
      <c r="L54" s="1" t="s">
        <v>364</v>
      </c>
      <c r="M54" s="7" t="s">
        <v>18</v>
      </c>
      <c r="N54" s="7" t="s">
        <v>365</v>
      </c>
      <c r="O54" s="18" t="s">
        <v>366</v>
      </c>
      <c r="P54" s="18" t="s">
        <v>367</v>
      </c>
      <c r="Q54" s="18" t="s">
        <v>538</v>
      </c>
      <c r="R54" s="18" t="s">
        <v>466</v>
      </c>
      <c r="S54" s="3" t="s">
        <v>18</v>
      </c>
      <c r="T54" s="18" t="s">
        <v>18</v>
      </c>
      <c r="U54" s="7" t="s">
        <v>368</v>
      </c>
    </row>
    <row r="55" spans="1:21" ht="51" x14ac:dyDescent="0.2">
      <c r="A55" s="16" t="s">
        <v>369</v>
      </c>
      <c r="B55" s="7">
        <v>2</v>
      </c>
      <c r="C55" s="7" t="s">
        <v>24</v>
      </c>
      <c r="D55" s="1" t="s">
        <v>370</v>
      </c>
      <c r="E55" s="1" t="s">
        <v>371</v>
      </c>
      <c r="F55" s="1">
        <v>62</v>
      </c>
      <c r="G55" s="1">
        <v>25</v>
      </c>
      <c r="H55" s="1">
        <v>45</v>
      </c>
      <c r="I55" s="1">
        <v>17</v>
      </c>
      <c r="J55" s="17">
        <v>49.37</v>
      </c>
      <c r="K55" s="17" t="s">
        <v>18</v>
      </c>
      <c r="L55" s="1" t="s">
        <v>315</v>
      </c>
      <c r="M55" s="7" t="s">
        <v>372</v>
      </c>
      <c r="N55" s="7" t="s">
        <v>373</v>
      </c>
      <c r="O55" s="18" t="s">
        <v>374</v>
      </c>
      <c r="P55" s="18" t="s">
        <v>375</v>
      </c>
      <c r="Q55" s="18" t="s">
        <v>539</v>
      </c>
      <c r="R55" s="18" t="s">
        <v>511</v>
      </c>
      <c r="S55" s="18" t="s">
        <v>540</v>
      </c>
      <c r="T55" s="3" t="s">
        <v>18</v>
      </c>
      <c r="U55" s="7" t="s">
        <v>376</v>
      </c>
    </row>
    <row r="56" spans="1:21" ht="85" x14ac:dyDescent="0.2">
      <c r="A56" s="16" t="s">
        <v>377</v>
      </c>
      <c r="B56" s="7">
        <v>3</v>
      </c>
      <c r="C56" s="7" t="s">
        <v>24</v>
      </c>
      <c r="D56" s="1" t="s">
        <v>378</v>
      </c>
      <c r="E56" s="1" t="s">
        <v>379</v>
      </c>
      <c r="F56" s="1">
        <v>119</v>
      </c>
      <c r="G56" s="1">
        <v>84</v>
      </c>
      <c r="H56" s="1">
        <f>49+46</f>
        <v>95</v>
      </c>
      <c r="I56" s="1">
        <v>24</v>
      </c>
      <c r="J56" s="17">
        <f>(68.3*62+67.4 *57)/(62+57)</f>
        <v>67.868907563025203</v>
      </c>
      <c r="K56" s="17">
        <f>(30.7*62+29.1 *57)/(62+57)</f>
        <v>29.93361344537815</v>
      </c>
      <c r="L56" s="1" t="s">
        <v>307</v>
      </c>
      <c r="M56" s="7" t="s">
        <v>18</v>
      </c>
      <c r="N56" s="1" t="s">
        <v>380</v>
      </c>
      <c r="O56" s="18" t="s">
        <v>381</v>
      </c>
      <c r="P56" s="18" t="s">
        <v>36</v>
      </c>
      <c r="Q56" s="18" t="s">
        <v>589</v>
      </c>
      <c r="R56" s="18" t="s">
        <v>590</v>
      </c>
      <c r="S56" s="18" t="s">
        <v>591</v>
      </c>
      <c r="T56" s="18" t="s">
        <v>512</v>
      </c>
      <c r="U56" s="7" t="s">
        <v>382</v>
      </c>
    </row>
    <row r="57" spans="1:21" ht="51" x14ac:dyDescent="0.2">
      <c r="A57" s="16" t="s">
        <v>383</v>
      </c>
      <c r="B57" s="7">
        <v>3</v>
      </c>
      <c r="C57" s="7" t="s">
        <v>24</v>
      </c>
      <c r="D57" s="1" t="s">
        <v>461</v>
      </c>
      <c r="E57" s="1" t="s">
        <v>384</v>
      </c>
      <c r="F57" s="1">
        <f>44+41</f>
        <v>85</v>
      </c>
      <c r="G57" s="1">
        <v>67</v>
      </c>
      <c r="H57" s="1">
        <v>31</v>
      </c>
      <c r="I57" s="1">
        <f>30+24</f>
        <v>54</v>
      </c>
      <c r="J57" s="17">
        <f>(53*44+54 *41)/(44+41)</f>
        <v>53.482352941176472</v>
      </c>
      <c r="K57" s="17">
        <f>(28*44+25*41)/(44+41)</f>
        <v>26.55294117647059</v>
      </c>
      <c r="L57" s="1" t="s">
        <v>307</v>
      </c>
      <c r="M57" s="7" t="s">
        <v>385</v>
      </c>
      <c r="N57" s="7" t="s">
        <v>386</v>
      </c>
      <c r="O57" s="18" t="s">
        <v>387</v>
      </c>
      <c r="P57" s="18" t="s">
        <v>36</v>
      </c>
      <c r="Q57" s="18" t="s">
        <v>592</v>
      </c>
      <c r="R57" s="18" t="s">
        <v>593</v>
      </c>
      <c r="S57" s="18" t="s">
        <v>594</v>
      </c>
      <c r="T57" s="18" t="s">
        <v>512</v>
      </c>
      <c r="U57" s="7" t="s">
        <v>388</v>
      </c>
    </row>
    <row r="58" spans="1:21" ht="68" x14ac:dyDescent="0.2">
      <c r="A58" s="16" t="s">
        <v>389</v>
      </c>
      <c r="B58" s="7">
        <v>3</v>
      </c>
      <c r="C58" s="7" t="s">
        <v>390</v>
      </c>
      <c r="D58" s="1" t="s">
        <v>391</v>
      </c>
      <c r="E58" s="1" t="s">
        <v>392</v>
      </c>
      <c r="F58" s="1">
        <v>70</v>
      </c>
      <c r="G58" s="1">
        <v>66</v>
      </c>
      <c r="H58" s="1">
        <v>0</v>
      </c>
      <c r="I58" s="1">
        <v>66</v>
      </c>
      <c r="J58" s="17">
        <v>27.8</v>
      </c>
      <c r="K58" s="17">
        <v>29.8</v>
      </c>
      <c r="L58" s="1" t="s">
        <v>307</v>
      </c>
      <c r="M58" s="1" t="s">
        <v>18</v>
      </c>
      <c r="N58" s="7" t="s">
        <v>393</v>
      </c>
      <c r="O58" s="18" t="s">
        <v>394</v>
      </c>
      <c r="P58" s="18" t="s">
        <v>395</v>
      </c>
      <c r="Q58" s="18" t="s">
        <v>595</v>
      </c>
      <c r="R58" s="18" t="s">
        <v>596</v>
      </c>
      <c r="S58" s="18" t="s">
        <v>597</v>
      </c>
      <c r="T58" s="18" t="s">
        <v>512</v>
      </c>
      <c r="U58" s="4" t="s">
        <v>396</v>
      </c>
    </row>
    <row r="59" spans="1:21" ht="102" x14ac:dyDescent="0.2">
      <c r="A59" s="16" t="s">
        <v>397</v>
      </c>
      <c r="B59" s="7">
        <v>3</v>
      </c>
      <c r="C59" s="7" t="s">
        <v>24</v>
      </c>
      <c r="D59" s="1" t="s">
        <v>398</v>
      </c>
      <c r="E59" s="1" t="s">
        <v>399</v>
      </c>
      <c r="F59" s="1">
        <f>38+34</f>
        <v>72</v>
      </c>
      <c r="G59" s="1">
        <f>30+36</f>
        <v>66</v>
      </c>
      <c r="H59" s="1">
        <f>14+12</f>
        <v>26</v>
      </c>
      <c r="I59" s="1">
        <v>40</v>
      </c>
      <c r="J59" s="17">
        <f>(64*36+63*30)/(36+30)</f>
        <v>63.545454545454547</v>
      </c>
      <c r="K59" s="17">
        <f>(28.8*36+29.7*30)/(36+30)</f>
        <v>29.209090909090907</v>
      </c>
      <c r="L59" s="1" t="s">
        <v>307</v>
      </c>
      <c r="M59" s="7" t="s">
        <v>18</v>
      </c>
      <c r="N59" s="7" t="s">
        <v>400</v>
      </c>
      <c r="O59" s="18" t="s">
        <v>401</v>
      </c>
      <c r="P59" s="18" t="s">
        <v>36</v>
      </c>
      <c r="Q59" s="18" t="s">
        <v>598</v>
      </c>
      <c r="R59" s="18" t="s">
        <v>599</v>
      </c>
      <c r="S59" s="18" t="s">
        <v>600</v>
      </c>
      <c r="T59" s="18" t="s">
        <v>512</v>
      </c>
      <c r="U59" s="7" t="s">
        <v>402</v>
      </c>
    </row>
    <row r="60" spans="1:21" ht="119" x14ac:dyDescent="0.2">
      <c r="A60" s="16" t="s">
        <v>403</v>
      </c>
      <c r="B60" s="7">
        <v>4</v>
      </c>
      <c r="C60" s="7" t="s">
        <v>326</v>
      </c>
      <c r="D60" s="1" t="s">
        <v>404</v>
      </c>
      <c r="E60" s="1" t="s">
        <v>405</v>
      </c>
      <c r="F60" s="1">
        <f>94+93</f>
        <v>187</v>
      </c>
      <c r="G60" s="1">
        <f>88+84</f>
        <v>172</v>
      </c>
      <c r="H60" s="1" t="s">
        <v>18</v>
      </c>
      <c r="I60" s="1" t="s">
        <v>18</v>
      </c>
      <c r="J60" s="17">
        <v>58</v>
      </c>
      <c r="K60" s="17">
        <v>27.3</v>
      </c>
      <c r="L60" s="1" t="s">
        <v>307</v>
      </c>
      <c r="M60" s="7" t="s">
        <v>18</v>
      </c>
      <c r="N60" s="7" t="s">
        <v>406</v>
      </c>
      <c r="O60" s="18" t="s">
        <v>407</v>
      </c>
      <c r="P60" s="18" t="s">
        <v>408</v>
      </c>
      <c r="Q60" s="18" t="s">
        <v>601</v>
      </c>
      <c r="R60" s="18" t="s">
        <v>593</v>
      </c>
      <c r="S60" s="18" t="s">
        <v>602</v>
      </c>
      <c r="T60" s="18" t="s">
        <v>512</v>
      </c>
      <c r="U60" s="7" t="s">
        <v>409</v>
      </c>
    </row>
    <row r="61" spans="1:21" ht="102" x14ac:dyDescent="0.2">
      <c r="A61" s="16" t="s">
        <v>410</v>
      </c>
      <c r="B61" s="7">
        <v>4</v>
      </c>
      <c r="C61" s="7" t="s">
        <v>118</v>
      </c>
      <c r="D61" s="1" t="s">
        <v>411</v>
      </c>
      <c r="E61" s="1" t="s">
        <v>412</v>
      </c>
      <c r="F61" s="1">
        <v>171</v>
      </c>
      <c r="G61" s="1">
        <v>161</v>
      </c>
      <c r="H61" s="1">
        <v>34</v>
      </c>
      <c r="I61" s="1">
        <v>137</v>
      </c>
      <c r="J61" s="17">
        <f>(43.3*55+44.3*56+40.7*56)/(55+56+56)</f>
        <v>42.763473053892213</v>
      </c>
      <c r="K61" s="17">
        <f>(26.8*55+27.5*56+27.8*56)/(55+56+56)</f>
        <v>27.370059880239523</v>
      </c>
      <c r="L61" s="1" t="s">
        <v>60</v>
      </c>
      <c r="M61" s="7" t="s">
        <v>49</v>
      </c>
      <c r="N61" s="7" t="s">
        <v>413</v>
      </c>
      <c r="O61" s="5" t="s">
        <v>414</v>
      </c>
      <c r="P61" s="6" t="s">
        <v>415</v>
      </c>
      <c r="Q61" s="6" t="s">
        <v>603</v>
      </c>
      <c r="R61" s="6" t="s">
        <v>604</v>
      </c>
      <c r="S61" s="6" t="s">
        <v>605</v>
      </c>
      <c r="T61" s="6" t="s">
        <v>606</v>
      </c>
      <c r="U61" s="7" t="s">
        <v>416</v>
      </c>
    </row>
    <row r="62" spans="1:21" ht="51" x14ac:dyDescent="0.2">
      <c r="A62" s="16" t="s">
        <v>417</v>
      </c>
      <c r="B62" s="7">
        <v>2</v>
      </c>
      <c r="C62" s="7" t="s">
        <v>418</v>
      </c>
      <c r="D62" s="1" t="s">
        <v>419</v>
      </c>
      <c r="E62" s="1" t="s">
        <v>420</v>
      </c>
      <c r="F62" s="1">
        <v>23</v>
      </c>
      <c r="G62" s="1">
        <v>23</v>
      </c>
      <c r="H62" s="1">
        <f>ROUND(0.3*10+0.62*13, 0)</f>
        <v>11</v>
      </c>
      <c r="I62" s="1">
        <f>G62-H62</f>
        <v>12</v>
      </c>
      <c r="J62" s="17">
        <f>(44*10+39*13)/(10+13)</f>
        <v>41.173913043478258</v>
      </c>
      <c r="K62" s="17">
        <v>33</v>
      </c>
      <c r="L62" s="1" t="s">
        <v>17</v>
      </c>
      <c r="M62" s="7" t="s">
        <v>18</v>
      </c>
      <c r="N62" s="7" t="s">
        <v>421</v>
      </c>
      <c r="O62" s="18" t="s">
        <v>422</v>
      </c>
      <c r="P62" s="18" t="s">
        <v>36</v>
      </c>
      <c r="Q62" s="18" t="s">
        <v>607</v>
      </c>
      <c r="R62" s="18" t="s">
        <v>608</v>
      </c>
      <c r="S62" s="18" t="s">
        <v>609</v>
      </c>
      <c r="T62" s="18" t="s">
        <v>18</v>
      </c>
      <c r="U62" s="7" t="s">
        <v>423</v>
      </c>
    </row>
    <row r="63" spans="1:21" ht="85" x14ac:dyDescent="0.2">
      <c r="A63" s="16" t="s">
        <v>424</v>
      </c>
      <c r="B63" s="7">
        <v>2</v>
      </c>
      <c r="C63" s="7" t="s">
        <v>24</v>
      </c>
      <c r="D63" s="1" t="s">
        <v>425</v>
      </c>
      <c r="E63" s="1" t="s">
        <v>426</v>
      </c>
      <c r="F63" s="1">
        <v>114</v>
      </c>
      <c r="G63" s="1">
        <v>109</v>
      </c>
      <c r="H63" s="1">
        <v>14</v>
      </c>
      <c r="I63" s="1">
        <v>95</v>
      </c>
      <c r="J63" s="17">
        <v>68.599999999999994</v>
      </c>
      <c r="K63" s="17">
        <v>29.3</v>
      </c>
      <c r="L63" s="1" t="s">
        <v>427</v>
      </c>
      <c r="M63" s="7" t="s">
        <v>18</v>
      </c>
      <c r="N63" s="7" t="s">
        <v>428</v>
      </c>
      <c r="O63" s="18" t="s">
        <v>429</v>
      </c>
      <c r="P63" s="18" t="s">
        <v>408</v>
      </c>
      <c r="Q63" s="18" t="s">
        <v>589</v>
      </c>
      <c r="R63" s="18" t="s">
        <v>610</v>
      </c>
      <c r="S63" s="18" t="s">
        <v>611</v>
      </c>
      <c r="T63" s="18" t="s">
        <v>18</v>
      </c>
      <c r="U63" s="7" t="s">
        <v>430</v>
      </c>
    </row>
    <row r="64" spans="1:21" ht="68" x14ac:dyDescent="0.2">
      <c r="A64" s="16" t="s">
        <v>431</v>
      </c>
      <c r="B64" s="7">
        <v>2</v>
      </c>
      <c r="C64" s="7" t="s">
        <v>24</v>
      </c>
      <c r="D64" s="1" t="s">
        <v>432</v>
      </c>
      <c r="E64" s="1" t="s">
        <v>433</v>
      </c>
      <c r="F64" s="1">
        <v>67</v>
      </c>
      <c r="G64" s="1">
        <v>67</v>
      </c>
      <c r="H64" s="1">
        <v>61</v>
      </c>
      <c r="I64" s="1">
        <v>6</v>
      </c>
      <c r="J64" s="17">
        <v>48.2</v>
      </c>
      <c r="K64" s="17" t="s">
        <v>18</v>
      </c>
      <c r="L64" s="1" t="s">
        <v>434</v>
      </c>
      <c r="M64" s="7" t="s">
        <v>18</v>
      </c>
      <c r="N64" s="7" t="s">
        <v>435</v>
      </c>
      <c r="O64" s="18" t="s">
        <v>436</v>
      </c>
      <c r="P64" s="18" t="s">
        <v>437</v>
      </c>
      <c r="Q64" s="18" t="s">
        <v>612</v>
      </c>
      <c r="R64" s="18" t="s">
        <v>613</v>
      </c>
      <c r="S64" s="18" t="s">
        <v>614</v>
      </c>
      <c r="T64" s="18" t="s">
        <v>512</v>
      </c>
      <c r="U64" s="7" t="s">
        <v>438</v>
      </c>
    </row>
    <row r="65" spans="1:21" ht="34" x14ac:dyDescent="0.2">
      <c r="A65" s="16" t="s">
        <v>439</v>
      </c>
      <c r="B65" s="7">
        <v>2</v>
      </c>
      <c r="C65" s="7" t="s">
        <v>24</v>
      </c>
      <c r="D65" s="1" t="s">
        <v>440</v>
      </c>
      <c r="E65" s="1" t="s">
        <v>441</v>
      </c>
      <c r="F65" s="1">
        <v>70</v>
      </c>
      <c r="G65" s="1">
        <v>57</v>
      </c>
      <c r="H65" s="1">
        <v>59</v>
      </c>
      <c r="I65" s="1">
        <v>11</v>
      </c>
      <c r="J65" s="17">
        <v>42.4</v>
      </c>
      <c r="K65" s="17">
        <v>30.3</v>
      </c>
      <c r="L65" s="1" t="s">
        <v>307</v>
      </c>
      <c r="M65" s="7" t="s">
        <v>18</v>
      </c>
      <c r="N65" s="7" t="s">
        <v>442</v>
      </c>
      <c r="O65" s="18" t="s">
        <v>443</v>
      </c>
      <c r="P65" s="18" t="s">
        <v>444</v>
      </c>
      <c r="Q65" s="18" t="s">
        <v>615</v>
      </c>
      <c r="R65" s="18" t="s">
        <v>616</v>
      </c>
      <c r="S65" s="18" t="s">
        <v>617</v>
      </c>
      <c r="T65" s="18" t="s">
        <v>512</v>
      </c>
      <c r="U65" s="7" t="s">
        <v>445</v>
      </c>
    </row>
    <row r="66" spans="1:21" ht="187" x14ac:dyDescent="0.2">
      <c r="A66" s="16" t="s">
        <v>446</v>
      </c>
      <c r="B66" s="7">
        <v>3</v>
      </c>
      <c r="C66" s="7" t="s">
        <v>24</v>
      </c>
      <c r="D66" s="1" t="s">
        <v>447</v>
      </c>
      <c r="E66" s="1" t="s">
        <v>448</v>
      </c>
      <c r="F66" s="1">
        <f>364+364</f>
        <v>728</v>
      </c>
      <c r="G66" s="1">
        <f>310+334</f>
        <v>644</v>
      </c>
      <c r="H66" s="1">
        <v>488</v>
      </c>
      <c r="I66" s="1">
        <v>240</v>
      </c>
      <c r="J66" s="17">
        <f>(49.9*364+53.13*364)/(364+364)</f>
        <v>51.515000000000001</v>
      </c>
      <c r="K66" s="17">
        <f>(29.04*364+28.61*364)/(364+364)</f>
        <v>28.824999999999999</v>
      </c>
      <c r="L66" s="1" t="s">
        <v>307</v>
      </c>
      <c r="M66" s="7" t="s">
        <v>449</v>
      </c>
      <c r="N66" s="7" t="s">
        <v>450</v>
      </c>
      <c r="O66" s="18" t="s">
        <v>451</v>
      </c>
      <c r="P66" s="18" t="s">
        <v>452</v>
      </c>
      <c r="Q66" s="18" t="s">
        <v>618</v>
      </c>
      <c r="R66" s="18" t="s">
        <v>608</v>
      </c>
      <c r="S66" s="18" t="s">
        <v>619</v>
      </c>
      <c r="T66" s="18" t="s">
        <v>620</v>
      </c>
      <c r="U66" s="7" t="s">
        <v>453</v>
      </c>
    </row>
    <row r="67" spans="1:21" ht="85" x14ac:dyDescent="0.2">
      <c r="A67" s="16" t="s">
        <v>621</v>
      </c>
      <c r="B67" s="7">
        <v>2</v>
      </c>
      <c r="C67" s="7" t="s">
        <v>326</v>
      </c>
      <c r="D67" s="9" t="s">
        <v>722</v>
      </c>
      <c r="E67" s="7" t="s">
        <v>743</v>
      </c>
      <c r="F67" s="7">
        <v>9</v>
      </c>
      <c r="G67" s="7">
        <v>9</v>
      </c>
      <c r="H67" s="7">
        <v>7</v>
      </c>
      <c r="I67" s="7">
        <v>2</v>
      </c>
      <c r="J67" s="7">
        <v>75.5</v>
      </c>
      <c r="K67" s="7" t="s">
        <v>18</v>
      </c>
      <c r="L67" s="1" t="s">
        <v>272</v>
      </c>
      <c r="M67" s="7" t="s">
        <v>273</v>
      </c>
      <c r="N67" s="7" t="s">
        <v>641</v>
      </c>
      <c r="O67" s="7" t="s">
        <v>642</v>
      </c>
      <c r="P67" s="7" t="s">
        <v>191</v>
      </c>
      <c r="Q67" s="7" t="s">
        <v>643</v>
      </c>
      <c r="R67" s="7" t="s">
        <v>191</v>
      </c>
      <c r="S67" s="7" t="s">
        <v>644</v>
      </c>
      <c r="T67" s="7" t="s">
        <v>644</v>
      </c>
      <c r="U67" s="7" t="s">
        <v>645</v>
      </c>
    </row>
    <row r="68" spans="1:21" ht="34" x14ac:dyDescent="0.2">
      <c r="A68" s="16" t="s">
        <v>622</v>
      </c>
      <c r="B68" s="7">
        <v>3</v>
      </c>
      <c r="C68" s="7" t="s">
        <v>289</v>
      </c>
      <c r="D68" s="7" t="s">
        <v>723</v>
      </c>
      <c r="E68" s="7" t="s">
        <v>744</v>
      </c>
      <c r="F68" s="7">
        <v>32</v>
      </c>
      <c r="G68" s="7">
        <v>32</v>
      </c>
      <c r="H68" s="7">
        <v>32</v>
      </c>
      <c r="I68" s="7">
        <v>0</v>
      </c>
      <c r="J68" s="22">
        <v>37.200000000000003</v>
      </c>
      <c r="K68" s="22">
        <v>21.6</v>
      </c>
      <c r="L68" s="1" t="s">
        <v>646</v>
      </c>
      <c r="M68" s="7" t="s">
        <v>18</v>
      </c>
      <c r="N68" s="7" t="s">
        <v>647</v>
      </c>
      <c r="O68" s="7" t="s">
        <v>648</v>
      </c>
      <c r="P68" s="7" t="s">
        <v>191</v>
      </c>
      <c r="Q68" s="7" t="s">
        <v>648</v>
      </c>
      <c r="R68" s="7" t="s">
        <v>191</v>
      </c>
      <c r="S68" s="7" t="s">
        <v>649</v>
      </c>
      <c r="T68" s="7" t="s">
        <v>18</v>
      </c>
      <c r="U68" s="7" t="s">
        <v>781</v>
      </c>
    </row>
    <row r="69" spans="1:21" ht="51" x14ac:dyDescent="0.2">
      <c r="A69" s="16" t="s">
        <v>623</v>
      </c>
      <c r="B69" s="7">
        <v>4</v>
      </c>
      <c r="C69" s="7" t="s">
        <v>24</v>
      </c>
      <c r="D69" s="7" t="s">
        <v>724</v>
      </c>
      <c r="E69" s="7" t="s">
        <v>745</v>
      </c>
      <c r="F69" s="7">
        <v>109</v>
      </c>
      <c r="G69" s="7">
        <v>109</v>
      </c>
      <c r="H69" s="7">
        <v>84</v>
      </c>
      <c r="I69" s="7">
        <v>25</v>
      </c>
      <c r="J69" s="22">
        <v>41.5</v>
      </c>
      <c r="K69" s="22">
        <v>33.299999999999997</v>
      </c>
      <c r="L69" s="1" t="s">
        <v>427</v>
      </c>
      <c r="M69" s="7" t="s">
        <v>650</v>
      </c>
      <c r="N69" s="7" t="s">
        <v>651</v>
      </c>
      <c r="O69" s="7" t="s">
        <v>652</v>
      </c>
      <c r="P69" s="7" t="s">
        <v>191</v>
      </c>
      <c r="Q69" s="7" t="s">
        <v>653</v>
      </c>
      <c r="R69" s="7" t="s">
        <v>654</v>
      </c>
      <c r="S69" s="7" t="s">
        <v>655</v>
      </c>
      <c r="T69" s="7" t="s">
        <v>782</v>
      </c>
      <c r="U69" s="7" t="s">
        <v>783</v>
      </c>
    </row>
    <row r="70" spans="1:21" ht="34" x14ac:dyDescent="0.2">
      <c r="A70" s="16" t="s">
        <v>624</v>
      </c>
      <c r="B70" s="7">
        <v>4</v>
      </c>
      <c r="C70" s="7" t="s">
        <v>24</v>
      </c>
      <c r="D70" s="7" t="s">
        <v>725</v>
      </c>
      <c r="E70" s="7" t="s">
        <v>746</v>
      </c>
      <c r="F70" s="7">
        <v>180</v>
      </c>
      <c r="G70" s="7">
        <v>180</v>
      </c>
      <c r="H70" s="7">
        <v>145</v>
      </c>
      <c r="I70" s="7">
        <v>35</v>
      </c>
      <c r="J70" s="22">
        <v>40.799999999999997</v>
      </c>
      <c r="K70" s="22">
        <v>28.25</v>
      </c>
      <c r="L70" s="1" t="s">
        <v>427</v>
      </c>
      <c r="M70" s="7" t="s">
        <v>650</v>
      </c>
      <c r="N70" s="7" t="s">
        <v>656</v>
      </c>
      <c r="O70" s="7" t="s">
        <v>653</v>
      </c>
      <c r="P70" s="7" t="s">
        <v>191</v>
      </c>
      <c r="Q70" s="7" t="s">
        <v>653</v>
      </c>
      <c r="R70" s="7" t="s">
        <v>654</v>
      </c>
      <c r="S70" s="7" t="s">
        <v>784</v>
      </c>
      <c r="T70" s="7" t="s">
        <v>785</v>
      </c>
      <c r="U70" s="7" t="s">
        <v>786</v>
      </c>
    </row>
    <row r="71" spans="1:21" ht="34" x14ac:dyDescent="0.2">
      <c r="A71" s="16" t="s">
        <v>625</v>
      </c>
      <c r="B71" s="7">
        <v>3</v>
      </c>
      <c r="C71" s="7" t="s">
        <v>24</v>
      </c>
      <c r="D71" s="7" t="s">
        <v>726</v>
      </c>
      <c r="E71" s="7" t="s">
        <v>747</v>
      </c>
      <c r="F71" s="7">
        <v>120</v>
      </c>
      <c r="G71" s="7">
        <v>118</v>
      </c>
      <c r="H71" s="7">
        <v>42</v>
      </c>
      <c r="I71" s="7">
        <v>72</v>
      </c>
      <c r="J71" s="22">
        <v>58</v>
      </c>
      <c r="K71" s="22">
        <v>32.700000000000003</v>
      </c>
      <c r="L71" s="1" t="s">
        <v>307</v>
      </c>
      <c r="M71" s="7" t="s">
        <v>657</v>
      </c>
      <c r="N71" s="7" t="s">
        <v>658</v>
      </c>
      <c r="O71" s="7" t="s">
        <v>787</v>
      </c>
      <c r="P71" s="7" t="s">
        <v>191</v>
      </c>
      <c r="Q71" s="7" t="s">
        <v>787</v>
      </c>
      <c r="R71" s="7" t="s">
        <v>654</v>
      </c>
      <c r="S71" s="7" t="s">
        <v>788</v>
      </c>
      <c r="T71" s="7" t="s">
        <v>789</v>
      </c>
      <c r="U71" s="7" t="s">
        <v>659</v>
      </c>
    </row>
    <row r="72" spans="1:21" ht="51" x14ac:dyDescent="0.2">
      <c r="A72" s="16" t="s">
        <v>626</v>
      </c>
      <c r="B72" s="7">
        <v>2</v>
      </c>
      <c r="C72" s="7" t="s">
        <v>24</v>
      </c>
      <c r="D72" s="7" t="s">
        <v>727</v>
      </c>
      <c r="E72" s="7" t="s">
        <v>748</v>
      </c>
      <c r="F72" s="7">
        <v>56</v>
      </c>
      <c r="G72" s="7">
        <v>56</v>
      </c>
      <c r="H72" s="7">
        <v>31</v>
      </c>
      <c r="I72" s="7">
        <v>25</v>
      </c>
      <c r="J72" s="22">
        <v>57.2</v>
      </c>
      <c r="K72" s="22" t="s">
        <v>18</v>
      </c>
      <c r="L72" s="1" t="s">
        <v>660</v>
      </c>
      <c r="M72" s="7" t="s">
        <v>357</v>
      </c>
      <c r="N72" s="7" t="s">
        <v>790</v>
      </c>
      <c r="O72" s="7" t="s">
        <v>661</v>
      </c>
      <c r="P72" s="7" t="s">
        <v>191</v>
      </c>
      <c r="Q72" s="7" t="s">
        <v>661</v>
      </c>
      <c r="R72" s="7" t="s">
        <v>608</v>
      </c>
      <c r="S72" s="7" t="s">
        <v>662</v>
      </c>
      <c r="T72" s="7" t="s">
        <v>663</v>
      </c>
      <c r="U72" s="7" t="s">
        <v>664</v>
      </c>
    </row>
    <row r="73" spans="1:21" ht="34" x14ac:dyDescent="0.2">
      <c r="A73" s="16" t="s">
        <v>627</v>
      </c>
      <c r="B73" s="7">
        <v>2</v>
      </c>
      <c r="C73" s="7" t="s">
        <v>24</v>
      </c>
      <c r="D73" s="9" t="s">
        <v>728</v>
      </c>
      <c r="E73" s="7" t="s">
        <v>749</v>
      </c>
      <c r="F73" s="7">
        <v>41</v>
      </c>
      <c r="G73" s="7">
        <v>37</v>
      </c>
      <c r="H73" s="7">
        <v>20</v>
      </c>
      <c r="I73" s="7">
        <v>21</v>
      </c>
      <c r="J73" s="22">
        <v>45.1</v>
      </c>
      <c r="K73" s="22">
        <v>29</v>
      </c>
      <c r="L73" s="1" t="s">
        <v>357</v>
      </c>
      <c r="M73" s="7" t="s">
        <v>18</v>
      </c>
      <c r="N73" s="7" t="s">
        <v>665</v>
      </c>
      <c r="O73" s="7" t="s">
        <v>791</v>
      </c>
      <c r="P73" s="7" t="s">
        <v>191</v>
      </c>
      <c r="Q73" s="7" t="s">
        <v>792</v>
      </c>
      <c r="R73" s="7" t="s">
        <v>608</v>
      </c>
      <c r="S73" s="7" t="s">
        <v>666</v>
      </c>
      <c r="T73" s="7" t="s">
        <v>18</v>
      </c>
      <c r="U73" s="7" t="s">
        <v>667</v>
      </c>
    </row>
    <row r="74" spans="1:21" ht="34" x14ac:dyDescent="0.2">
      <c r="A74" s="16" t="s">
        <v>628</v>
      </c>
      <c r="B74" s="7">
        <v>2</v>
      </c>
      <c r="C74" s="7" t="s">
        <v>24</v>
      </c>
      <c r="D74" s="7" t="s">
        <v>726</v>
      </c>
      <c r="E74" s="7" t="s">
        <v>750</v>
      </c>
      <c r="F74" s="7">
        <v>40</v>
      </c>
      <c r="G74" s="7">
        <v>39</v>
      </c>
      <c r="H74" s="7">
        <v>3</v>
      </c>
      <c r="I74" s="7">
        <v>37</v>
      </c>
      <c r="J74" s="22">
        <v>57</v>
      </c>
      <c r="K74" s="22" t="s">
        <v>18</v>
      </c>
      <c r="L74" s="1" t="s">
        <v>307</v>
      </c>
      <c r="M74" s="7" t="s">
        <v>18</v>
      </c>
      <c r="N74" s="7" t="s">
        <v>668</v>
      </c>
      <c r="O74" s="7" t="s">
        <v>669</v>
      </c>
      <c r="P74" s="7" t="s">
        <v>191</v>
      </c>
      <c r="Q74" s="7" t="s">
        <v>669</v>
      </c>
      <c r="R74" s="7" t="s">
        <v>608</v>
      </c>
      <c r="S74" s="7" t="s">
        <v>793</v>
      </c>
      <c r="T74" s="7" t="s">
        <v>18</v>
      </c>
      <c r="U74" s="7" t="s">
        <v>670</v>
      </c>
    </row>
    <row r="75" spans="1:21" ht="85" x14ac:dyDescent="0.2">
      <c r="A75" s="16" t="s">
        <v>629</v>
      </c>
      <c r="B75" s="7">
        <v>3</v>
      </c>
      <c r="C75" s="7" t="s">
        <v>24</v>
      </c>
      <c r="D75" s="10" t="s">
        <v>729</v>
      </c>
      <c r="E75" s="7" t="s">
        <v>751</v>
      </c>
      <c r="F75" s="7">
        <v>42</v>
      </c>
      <c r="G75" s="7">
        <v>36</v>
      </c>
      <c r="H75" s="7">
        <v>20</v>
      </c>
      <c r="I75" s="7">
        <v>22</v>
      </c>
      <c r="J75" s="22">
        <v>44.1</v>
      </c>
      <c r="K75" s="22">
        <v>30</v>
      </c>
      <c r="L75" s="1" t="s">
        <v>307</v>
      </c>
      <c r="M75" s="7" t="s">
        <v>18</v>
      </c>
      <c r="N75" s="7" t="s">
        <v>671</v>
      </c>
      <c r="O75" s="7" t="s">
        <v>672</v>
      </c>
      <c r="P75" s="7" t="s">
        <v>191</v>
      </c>
      <c r="Q75" s="7" t="s">
        <v>673</v>
      </c>
      <c r="R75" s="7" t="s">
        <v>674</v>
      </c>
      <c r="S75" s="7" t="s">
        <v>794</v>
      </c>
      <c r="T75" s="7" t="s">
        <v>18</v>
      </c>
      <c r="U75" s="7" t="s">
        <v>795</v>
      </c>
    </row>
    <row r="76" spans="1:21" ht="51" x14ac:dyDescent="0.2">
      <c r="A76" s="16" t="s">
        <v>630</v>
      </c>
      <c r="B76" s="7">
        <v>2</v>
      </c>
      <c r="C76" s="7" t="s">
        <v>24</v>
      </c>
      <c r="D76" s="7" t="s">
        <v>730</v>
      </c>
      <c r="E76" s="7" t="s">
        <v>752</v>
      </c>
      <c r="F76" s="7">
        <v>388</v>
      </c>
      <c r="G76" s="7">
        <v>388</v>
      </c>
      <c r="H76" s="7">
        <v>299</v>
      </c>
      <c r="I76" s="7">
        <v>89</v>
      </c>
      <c r="J76" s="22">
        <v>46.4</v>
      </c>
      <c r="K76" s="22">
        <v>36.700000000000003</v>
      </c>
      <c r="L76" s="1" t="s">
        <v>273</v>
      </c>
      <c r="M76" s="7" t="s">
        <v>18</v>
      </c>
      <c r="N76" s="7" t="s">
        <v>675</v>
      </c>
      <c r="O76" s="7" t="s">
        <v>486</v>
      </c>
      <c r="P76" s="7" t="s">
        <v>191</v>
      </c>
      <c r="Q76" s="7" t="s">
        <v>486</v>
      </c>
      <c r="R76" s="7" t="s">
        <v>608</v>
      </c>
      <c r="S76" s="7" t="s">
        <v>676</v>
      </c>
      <c r="T76" s="7" t="s">
        <v>18</v>
      </c>
      <c r="U76" s="7" t="s">
        <v>677</v>
      </c>
    </row>
    <row r="77" spans="1:21" ht="51" x14ac:dyDescent="0.2">
      <c r="A77" s="16" t="s">
        <v>631</v>
      </c>
      <c r="B77" s="7">
        <v>2</v>
      </c>
      <c r="C77" s="7" t="s">
        <v>52</v>
      </c>
      <c r="D77" s="7" t="s">
        <v>731</v>
      </c>
      <c r="E77" s="7" t="s">
        <v>753</v>
      </c>
      <c r="F77" s="7">
        <v>51</v>
      </c>
      <c r="G77" s="7">
        <v>45</v>
      </c>
      <c r="H77" s="7">
        <v>44</v>
      </c>
      <c r="I77" s="7">
        <v>7</v>
      </c>
      <c r="J77" s="22">
        <v>36.799999999999997</v>
      </c>
      <c r="K77" s="22">
        <v>28.7</v>
      </c>
      <c r="L77" s="1" t="s">
        <v>307</v>
      </c>
      <c r="M77" s="7" t="s">
        <v>18</v>
      </c>
      <c r="N77" s="7" t="s">
        <v>796</v>
      </c>
      <c r="O77" s="7" t="s">
        <v>177</v>
      </c>
      <c r="P77" s="7" t="s">
        <v>191</v>
      </c>
      <c r="Q77" s="7" t="s">
        <v>678</v>
      </c>
      <c r="R77" s="7" t="s">
        <v>608</v>
      </c>
      <c r="S77" s="7" t="s">
        <v>679</v>
      </c>
      <c r="T77" s="7" t="s">
        <v>18</v>
      </c>
      <c r="U77" s="7" t="s">
        <v>680</v>
      </c>
    </row>
    <row r="78" spans="1:21" ht="34" x14ac:dyDescent="0.2">
      <c r="A78" s="16" t="s">
        <v>632</v>
      </c>
      <c r="B78" s="7">
        <v>3</v>
      </c>
      <c r="C78" s="7" t="s">
        <v>52</v>
      </c>
      <c r="D78" s="7" t="s">
        <v>732</v>
      </c>
      <c r="E78" s="7" t="s">
        <v>754</v>
      </c>
      <c r="F78" s="7">
        <v>906</v>
      </c>
      <c r="G78" s="7">
        <v>620</v>
      </c>
      <c r="H78" s="7">
        <v>447</v>
      </c>
      <c r="I78" s="7">
        <v>459</v>
      </c>
      <c r="J78" s="22">
        <v>59.3</v>
      </c>
      <c r="K78" s="22">
        <v>28.3</v>
      </c>
      <c r="L78" s="1" t="s">
        <v>681</v>
      </c>
      <c r="M78" s="7" t="s">
        <v>18</v>
      </c>
      <c r="N78" s="7" t="s">
        <v>797</v>
      </c>
      <c r="O78" s="7" t="s">
        <v>603</v>
      </c>
      <c r="P78" s="7" t="s">
        <v>191</v>
      </c>
      <c r="Q78" s="7" t="s">
        <v>798</v>
      </c>
      <c r="R78" s="7" t="s">
        <v>608</v>
      </c>
      <c r="S78" s="7" t="s">
        <v>682</v>
      </c>
      <c r="T78" s="7" t="s">
        <v>18</v>
      </c>
      <c r="U78" s="7" t="s">
        <v>683</v>
      </c>
    </row>
    <row r="79" spans="1:21" ht="34" x14ac:dyDescent="0.2">
      <c r="A79" s="16" t="s">
        <v>633</v>
      </c>
      <c r="B79" s="7">
        <v>2</v>
      </c>
      <c r="C79" s="7" t="s">
        <v>733</v>
      </c>
      <c r="D79" s="7" t="s">
        <v>734</v>
      </c>
      <c r="E79" s="7" t="s">
        <v>755</v>
      </c>
      <c r="F79" s="7">
        <v>70</v>
      </c>
      <c r="G79" s="7">
        <v>62</v>
      </c>
      <c r="H79" s="7">
        <v>42</v>
      </c>
      <c r="I79" s="7">
        <v>28</v>
      </c>
      <c r="J79" s="22">
        <v>72</v>
      </c>
      <c r="K79" s="22">
        <v>27.2</v>
      </c>
      <c r="L79" s="1" t="s">
        <v>307</v>
      </c>
      <c r="M79" s="7" t="s">
        <v>18</v>
      </c>
      <c r="N79" s="7" t="s">
        <v>684</v>
      </c>
      <c r="O79" s="7" t="s">
        <v>685</v>
      </c>
      <c r="P79" s="7" t="s">
        <v>191</v>
      </c>
      <c r="Q79" s="7" t="s">
        <v>685</v>
      </c>
      <c r="R79" s="7" t="s">
        <v>686</v>
      </c>
      <c r="S79" s="7" t="s">
        <v>799</v>
      </c>
      <c r="T79" s="7" t="s">
        <v>18</v>
      </c>
      <c r="U79" s="7" t="s">
        <v>800</v>
      </c>
    </row>
    <row r="80" spans="1:21" ht="34" x14ac:dyDescent="0.2">
      <c r="A80" s="16" t="s">
        <v>634</v>
      </c>
      <c r="B80" s="7">
        <v>2</v>
      </c>
      <c r="C80" s="7" t="s">
        <v>735</v>
      </c>
      <c r="D80" s="7" t="s">
        <v>736</v>
      </c>
      <c r="E80" s="7" t="s">
        <v>756</v>
      </c>
      <c r="F80" s="7">
        <v>234</v>
      </c>
      <c r="G80" s="7">
        <v>234</v>
      </c>
      <c r="H80" s="7">
        <v>146</v>
      </c>
      <c r="I80" s="7">
        <v>88</v>
      </c>
      <c r="J80" s="22">
        <v>46.7</v>
      </c>
      <c r="K80" s="22">
        <v>26.3</v>
      </c>
      <c r="L80" s="1" t="s">
        <v>349</v>
      </c>
      <c r="M80" s="7" t="s">
        <v>687</v>
      </c>
      <c r="N80" s="7" t="s">
        <v>688</v>
      </c>
      <c r="O80" s="7" t="s">
        <v>689</v>
      </c>
      <c r="P80" s="7" t="s">
        <v>191</v>
      </c>
      <c r="Q80" s="7" t="s">
        <v>689</v>
      </c>
      <c r="R80" s="7" t="s">
        <v>690</v>
      </c>
      <c r="S80" s="7" t="s">
        <v>801</v>
      </c>
      <c r="T80" s="7" t="s">
        <v>802</v>
      </c>
      <c r="U80" s="7" t="s">
        <v>691</v>
      </c>
    </row>
    <row r="81" spans="1:21" ht="34" x14ac:dyDescent="0.2">
      <c r="A81" s="16" t="s">
        <v>635</v>
      </c>
      <c r="B81" s="7">
        <v>2</v>
      </c>
      <c r="C81" s="7" t="s">
        <v>24</v>
      </c>
      <c r="D81" s="7" t="s">
        <v>737</v>
      </c>
      <c r="E81" s="7" t="s">
        <v>757</v>
      </c>
      <c r="F81" s="7">
        <v>45</v>
      </c>
      <c r="G81" s="7">
        <v>37</v>
      </c>
      <c r="H81" s="7">
        <v>45</v>
      </c>
      <c r="I81" s="7">
        <v>0</v>
      </c>
      <c r="J81" s="22">
        <v>60.6</v>
      </c>
      <c r="K81" s="22">
        <v>29</v>
      </c>
      <c r="L81" s="1" t="s">
        <v>427</v>
      </c>
      <c r="M81" s="7" t="s">
        <v>692</v>
      </c>
      <c r="N81" s="7" t="s">
        <v>693</v>
      </c>
      <c r="O81" s="7" t="s">
        <v>694</v>
      </c>
      <c r="P81" s="7" t="s">
        <v>191</v>
      </c>
      <c r="Q81" s="7" t="s">
        <v>694</v>
      </c>
      <c r="R81" s="7" t="s">
        <v>608</v>
      </c>
      <c r="S81" s="7" t="s">
        <v>695</v>
      </c>
      <c r="T81" s="7" t="s">
        <v>696</v>
      </c>
      <c r="U81" s="7" t="s">
        <v>697</v>
      </c>
    </row>
    <row r="82" spans="1:21" ht="34" x14ac:dyDescent="0.2">
      <c r="A82" s="16" t="s">
        <v>636</v>
      </c>
      <c r="B82" s="7">
        <v>2</v>
      </c>
      <c r="C82" s="7" t="s">
        <v>24</v>
      </c>
      <c r="D82" s="7" t="s">
        <v>738</v>
      </c>
      <c r="E82" s="7" t="s">
        <v>758</v>
      </c>
      <c r="F82" s="7">
        <v>20</v>
      </c>
      <c r="G82" s="7">
        <v>19</v>
      </c>
      <c r="H82" s="7">
        <v>1</v>
      </c>
      <c r="I82" s="7">
        <v>19</v>
      </c>
      <c r="J82" s="22">
        <v>71.599999999999994</v>
      </c>
      <c r="K82" s="22" t="s">
        <v>18</v>
      </c>
      <c r="L82" s="1" t="s">
        <v>307</v>
      </c>
      <c r="M82" s="7" t="s">
        <v>18</v>
      </c>
      <c r="N82" s="7" t="s">
        <v>803</v>
      </c>
      <c r="O82" s="7" t="s">
        <v>698</v>
      </c>
      <c r="P82" s="7" t="s">
        <v>191</v>
      </c>
      <c r="Q82" s="7" t="s">
        <v>699</v>
      </c>
      <c r="R82" s="7" t="s">
        <v>608</v>
      </c>
      <c r="S82" s="7" t="s">
        <v>700</v>
      </c>
      <c r="T82" s="7" t="s">
        <v>18</v>
      </c>
      <c r="U82" s="7" t="s">
        <v>804</v>
      </c>
    </row>
    <row r="83" spans="1:21" ht="34" x14ac:dyDescent="0.2">
      <c r="A83" s="16" t="s">
        <v>637</v>
      </c>
      <c r="B83" s="7">
        <v>3</v>
      </c>
      <c r="C83" s="7" t="s">
        <v>207</v>
      </c>
      <c r="D83" s="7" t="s">
        <v>739</v>
      </c>
      <c r="E83" s="7" t="s">
        <v>759</v>
      </c>
      <c r="F83" s="7">
        <v>123</v>
      </c>
      <c r="G83" s="7">
        <v>106</v>
      </c>
      <c r="H83" s="7">
        <v>56</v>
      </c>
      <c r="I83" s="7">
        <v>67</v>
      </c>
      <c r="J83" s="22">
        <v>64.7</v>
      </c>
      <c r="K83" s="22">
        <v>29.9</v>
      </c>
      <c r="L83" s="1" t="s">
        <v>701</v>
      </c>
      <c r="M83" s="7" t="s">
        <v>18</v>
      </c>
      <c r="N83" s="7" t="s">
        <v>702</v>
      </c>
      <c r="O83" s="7" t="s">
        <v>703</v>
      </c>
      <c r="P83" s="7" t="s">
        <v>191</v>
      </c>
      <c r="Q83" s="7" t="s">
        <v>704</v>
      </c>
      <c r="R83" s="7" t="s">
        <v>654</v>
      </c>
      <c r="S83" s="7" t="s">
        <v>705</v>
      </c>
      <c r="T83" s="7" t="s">
        <v>18</v>
      </c>
      <c r="U83" s="7" t="s">
        <v>706</v>
      </c>
    </row>
    <row r="84" spans="1:21" ht="34" x14ac:dyDescent="0.2">
      <c r="A84" s="16" t="s">
        <v>638</v>
      </c>
      <c r="B84" s="7">
        <v>4</v>
      </c>
      <c r="C84" s="7" t="s">
        <v>52</v>
      </c>
      <c r="D84" s="7" t="s">
        <v>740</v>
      </c>
      <c r="E84" s="7" t="s">
        <v>760</v>
      </c>
      <c r="F84" s="7">
        <v>243</v>
      </c>
      <c r="G84" s="7">
        <v>206</v>
      </c>
      <c r="H84" s="7">
        <v>102</v>
      </c>
      <c r="I84" s="7">
        <v>141</v>
      </c>
      <c r="J84" s="22">
        <v>42.3</v>
      </c>
      <c r="K84" s="22">
        <v>26.8</v>
      </c>
      <c r="L84" s="1" t="s">
        <v>307</v>
      </c>
      <c r="M84" s="7" t="s">
        <v>18</v>
      </c>
      <c r="N84" s="7" t="s">
        <v>707</v>
      </c>
      <c r="O84" s="7" t="s">
        <v>708</v>
      </c>
      <c r="P84" s="7" t="s">
        <v>191</v>
      </c>
      <c r="Q84" s="7" t="s">
        <v>708</v>
      </c>
      <c r="R84" s="7" t="s">
        <v>654</v>
      </c>
      <c r="S84" s="7" t="s">
        <v>709</v>
      </c>
      <c r="T84" s="7" t="s">
        <v>18</v>
      </c>
      <c r="U84" s="7" t="s">
        <v>710</v>
      </c>
    </row>
    <row r="85" spans="1:21" ht="34" x14ac:dyDescent="0.2">
      <c r="A85" s="16" t="s">
        <v>639</v>
      </c>
      <c r="B85" s="7">
        <v>3</v>
      </c>
      <c r="C85" s="7" t="s">
        <v>52</v>
      </c>
      <c r="D85" s="9" t="s">
        <v>741</v>
      </c>
      <c r="E85" s="7" t="s">
        <v>756</v>
      </c>
      <c r="F85" s="7">
        <v>45</v>
      </c>
      <c r="G85" s="7">
        <v>45</v>
      </c>
      <c r="H85" s="7">
        <v>23</v>
      </c>
      <c r="I85" s="7">
        <v>22</v>
      </c>
      <c r="J85" s="22">
        <v>40.85</v>
      </c>
      <c r="K85" s="22">
        <v>26.6</v>
      </c>
      <c r="L85" s="1" t="s">
        <v>711</v>
      </c>
      <c r="M85" s="7" t="s">
        <v>18</v>
      </c>
      <c r="N85" s="7" t="s">
        <v>712</v>
      </c>
      <c r="O85" s="7" t="s">
        <v>713</v>
      </c>
      <c r="P85" s="7" t="s">
        <v>714</v>
      </c>
      <c r="Q85" s="7" t="s">
        <v>805</v>
      </c>
      <c r="R85" s="7" t="s">
        <v>715</v>
      </c>
      <c r="S85" s="8" t="s">
        <v>716</v>
      </c>
      <c r="T85" s="7" t="s">
        <v>18</v>
      </c>
      <c r="U85" s="7" t="s">
        <v>806</v>
      </c>
    </row>
    <row r="86" spans="1:21" ht="102" x14ac:dyDescent="0.2">
      <c r="A86" s="16" t="s">
        <v>640</v>
      </c>
      <c r="B86" s="7">
        <v>3</v>
      </c>
      <c r="C86" s="7" t="s">
        <v>24</v>
      </c>
      <c r="D86" s="7" t="s">
        <v>742</v>
      </c>
      <c r="E86" s="7" t="s">
        <v>761</v>
      </c>
      <c r="F86" s="7">
        <v>161</v>
      </c>
      <c r="G86" s="7">
        <v>126</v>
      </c>
      <c r="H86" s="7">
        <v>161</v>
      </c>
      <c r="I86" s="7">
        <v>0</v>
      </c>
      <c r="J86" s="22">
        <v>57.3</v>
      </c>
      <c r="K86" s="22" t="s">
        <v>18</v>
      </c>
      <c r="L86" s="1" t="s">
        <v>273</v>
      </c>
      <c r="M86" s="7" t="s">
        <v>449</v>
      </c>
      <c r="N86" s="7" t="s">
        <v>717</v>
      </c>
      <c r="O86" s="7" t="s">
        <v>718</v>
      </c>
      <c r="P86" s="7" t="s">
        <v>714</v>
      </c>
      <c r="Q86" s="7" t="s">
        <v>719</v>
      </c>
      <c r="R86" s="7" t="s">
        <v>715</v>
      </c>
      <c r="S86" s="7" t="s">
        <v>807</v>
      </c>
      <c r="T86" s="7" t="s">
        <v>720</v>
      </c>
      <c r="U86" s="7" t="s">
        <v>721</v>
      </c>
    </row>
  </sheetData>
  <phoneticPr fontId="9" type="noConversion"/>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Studies</vt:lpstr>
      <vt:lpstr>Studies!Selfmonitoring_final_set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Vetrovsky</dc:creator>
  <cp:lastModifiedBy>Tomas Vetrovsky</cp:lastModifiedBy>
  <cp:lastPrinted>2022-03-24T08:18:21Z</cp:lastPrinted>
  <dcterms:created xsi:type="dcterms:W3CDTF">2021-06-24T11:22:04Z</dcterms:created>
  <dcterms:modified xsi:type="dcterms:W3CDTF">2022-05-17T13:15:51Z</dcterms:modified>
</cp:coreProperties>
</file>